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15DDF21C-4696-427A-B845-3474C6128A7F}" xr6:coauthVersionLast="45" xr6:coauthVersionMax="47" xr10:uidLastSave="{00000000-0000-0000-0000-000000000000}"/>
  <bookViews>
    <workbookView xWindow="-120" yWindow="-120" windowWidth="20730" windowHeight="11160" activeTab="4" xr2:uid="{00000000-000D-0000-FFFF-FFFF00000000}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1'!$A$1:$I$105</definedName>
    <definedName name="_xlnm.Print_Area" localSheetId="2">'Таблиця 3'!$A$1:$I$48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1" i="5" l="1"/>
  <c r="D20" i="5"/>
  <c r="D19" i="5"/>
  <c r="I26" i="1" l="1"/>
  <c r="H29" i="1"/>
  <c r="H26" i="1"/>
  <c r="I28" i="1"/>
  <c r="H28" i="1"/>
  <c r="G26" i="1"/>
  <c r="F26" i="1"/>
  <c r="G28" i="1"/>
  <c r="F28" i="1"/>
  <c r="I63" i="1"/>
  <c r="G63" i="1"/>
  <c r="F63" i="1"/>
  <c r="H63" i="1"/>
  <c r="G29" i="1"/>
  <c r="F29" i="1"/>
  <c r="F64" i="1"/>
  <c r="F35" i="1" s="1"/>
  <c r="I34" i="1"/>
  <c r="H34" i="1"/>
  <c r="G34" i="1"/>
  <c r="F34" i="1"/>
  <c r="B20" i="5" l="1"/>
  <c r="B21" i="5"/>
  <c r="C13" i="5"/>
  <c r="B6" i="5"/>
  <c r="C44" i="3"/>
  <c r="C9" i="2" l="1"/>
  <c r="C28" i="1" l="1"/>
  <c r="I29" i="1" l="1"/>
  <c r="C21" i="5"/>
  <c r="C20" i="5"/>
  <c r="C19" i="5"/>
  <c r="C11" i="5"/>
  <c r="F43" i="3"/>
  <c r="E26" i="2" l="1"/>
  <c r="E89" i="1"/>
  <c r="G9" i="4"/>
  <c r="H9" i="4"/>
  <c r="I9" i="4"/>
  <c r="F9" i="4"/>
  <c r="D11" i="5" l="1"/>
  <c r="C13" i="3"/>
  <c r="F96" i="1"/>
  <c r="F97" i="1"/>
  <c r="D13" i="3" l="1"/>
  <c r="D75" i="1"/>
  <c r="D55" i="1" s="1"/>
  <c r="C12" i="5"/>
  <c r="B23" i="5"/>
  <c r="B24" i="5"/>
  <c r="B17" i="5"/>
  <c r="B16" i="5"/>
  <c r="B15" i="5"/>
  <c r="C23" i="5" l="1"/>
  <c r="C16" i="5"/>
  <c r="C15" i="5"/>
  <c r="D6" i="5"/>
  <c r="C25" i="5"/>
  <c r="C24" i="5"/>
  <c r="D23" i="5"/>
  <c r="D15" i="5"/>
  <c r="D43" i="3"/>
  <c r="C43" i="3"/>
  <c r="C12" i="3"/>
  <c r="C10" i="3"/>
  <c r="C17" i="5" l="1"/>
  <c r="C18" i="5"/>
  <c r="C96" i="1" l="1"/>
  <c r="C94" i="1" s="1"/>
  <c r="G64" i="1"/>
  <c r="G35" i="1" s="1"/>
  <c r="H64" i="1"/>
  <c r="H35" i="1" s="1"/>
  <c r="I64" i="1"/>
  <c r="I35" i="1" s="1"/>
  <c r="C78" i="1" l="1"/>
  <c r="D78" i="1"/>
  <c r="E78" i="1"/>
  <c r="F78" i="1"/>
  <c r="C9" i="4"/>
  <c r="C7" i="4" l="1"/>
  <c r="D7" i="4"/>
  <c r="D12" i="3"/>
  <c r="D10" i="3"/>
  <c r="E9" i="3" l="1"/>
  <c r="G13" i="3"/>
  <c r="H13" i="3"/>
  <c r="F13" i="3"/>
  <c r="G12" i="3"/>
  <c r="H12" i="3"/>
  <c r="I12" i="3"/>
  <c r="E56" i="1" l="1"/>
  <c r="G30" i="1"/>
  <c r="H30" i="1"/>
  <c r="I30" i="1"/>
  <c r="F75" i="1"/>
  <c r="F30" i="1" l="1"/>
  <c r="F55" i="1"/>
  <c r="F94" i="1"/>
  <c r="F25" i="1"/>
  <c r="F98" i="1"/>
  <c r="F23" i="2" s="1"/>
  <c r="F23" i="3"/>
  <c r="F16" i="2"/>
  <c r="F26" i="3" s="1"/>
  <c r="F25" i="2"/>
  <c r="F100" i="1"/>
  <c r="F12" i="3"/>
  <c r="E12" i="3" s="1"/>
  <c r="F21" i="2" l="1"/>
  <c r="F25" i="3"/>
  <c r="F15" i="2"/>
  <c r="G96" i="1"/>
  <c r="G94" i="1" l="1"/>
  <c r="G10" i="3" l="1"/>
  <c r="G25" i="1"/>
  <c r="G78" i="1"/>
  <c r="H78" i="1"/>
  <c r="I78" i="1"/>
  <c r="G97" i="1"/>
  <c r="H97" i="1"/>
  <c r="I97" i="1"/>
  <c r="G98" i="1"/>
  <c r="G23" i="2" s="1"/>
  <c r="H98" i="1"/>
  <c r="H23" i="2" s="1"/>
  <c r="I98" i="1"/>
  <c r="I23" i="2" s="1"/>
  <c r="G75" i="1"/>
  <c r="G55" i="1" s="1"/>
  <c r="H75" i="1"/>
  <c r="H55" i="1" s="1"/>
  <c r="I75" i="1"/>
  <c r="I55" i="1" s="1"/>
  <c r="I23" i="3" l="1"/>
  <c r="I25" i="2"/>
  <c r="I21" i="2" s="1"/>
  <c r="I16" i="2"/>
  <c r="I26" i="3" s="1"/>
  <c r="G23" i="3"/>
  <c r="G16" i="2"/>
  <c r="G25" i="2"/>
  <c r="G21" i="2" s="1"/>
  <c r="H25" i="2"/>
  <c r="H21" i="2" s="1"/>
  <c r="H16" i="2"/>
  <c r="H23" i="3"/>
  <c r="I100" i="1"/>
  <c r="I96" i="1"/>
  <c r="H96" i="1"/>
  <c r="H10" i="3" l="1"/>
  <c r="H8" i="3" s="1"/>
  <c r="H42" i="3" s="1"/>
  <c r="H25" i="1"/>
  <c r="H90" i="1" s="1"/>
  <c r="I10" i="3"/>
  <c r="I25" i="1"/>
  <c r="I90" i="1" s="1"/>
  <c r="G26" i="3"/>
  <c r="G25" i="3" s="1"/>
  <c r="G15" i="2"/>
  <c r="H26" i="3"/>
  <c r="H15" i="2"/>
  <c r="H94" i="1"/>
  <c r="I94" i="1"/>
  <c r="I101" i="1" s="1"/>
  <c r="G90" i="1"/>
  <c r="E25" i="1" l="1"/>
  <c r="H25" i="3"/>
  <c r="E26" i="3"/>
  <c r="C8" i="3"/>
  <c r="C42" i="3" s="1"/>
  <c r="D8" i="3"/>
  <c r="D42" i="3" s="1"/>
  <c r="C26" i="2"/>
  <c r="D26" i="2"/>
  <c r="F26" i="2"/>
  <c r="G26" i="2"/>
  <c r="H26" i="2"/>
  <c r="I26" i="2"/>
  <c r="D96" i="1"/>
  <c r="D94" i="1" s="1"/>
  <c r="C97" i="1"/>
  <c r="D97" i="1"/>
  <c r="C98" i="1"/>
  <c r="C23" i="2" s="1"/>
  <c r="D98" i="1"/>
  <c r="C23" i="3" l="1"/>
  <c r="D23" i="3"/>
  <c r="D25" i="2"/>
  <c r="D16" i="2"/>
  <c r="C21" i="2"/>
  <c r="D23" i="2"/>
  <c r="C25" i="1"/>
  <c r="C90" i="1" s="1"/>
  <c r="C92" i="1" s="1"/>
  <c r="C30" i="3" s="1"/>
  <c r="D25" i="1"/>
  <c r="D90" i="1" s="1"/>
  <c r="C30" i="1"/>
  <c r="D30" i="1"/>
  <c r="C75" i="1"/>
  <c r="D100" i="1"/>
  <c r="D91" i="1" s="1"/>
  <c r="D21" i="3" s="1"/>
  <c r="C100" i="1" l="1"/>
  <c r="C91" i="1" s="1"/>
  <c r="C21" i="3" s="1"/>
  <c r="C55" i="1"/>
  <c r="C26" i="3"/>
  <c r="C25" i="3" s="1"/>
  <c r="C15" i="2"/>
  <c r="D26" i="3"/>
  <c r="D25" i="3" s="1"/>
  <c r="D15" i="2"/>
  <c r="D21" i="2"/>
  <c r="D101" i="1"/>
  <c r="D92" i="1"/>
  <c r="D30" i="3" s="1"/>
  <c r="C101" i="1" l="1"/>
  <c r="E77" i="1" l="1"/>
  <c r="E75" i="1" s="1"/>
  <c r="F101" i="1"/>
  <c r="F10" i="3"/>
  <c r="E10" i="3" s="1"/>
  <c r="G7" i="4"/>
  <c r="F7" i="4"/>
  <c r="I7" i="4"/>
  <c r="B18" i="5"/>
  <c r="H7" i="4" l="1"/>
  <c r="E9" i="4"/>
  <c r="E7" i="4" s="1"/>
  <c r="B10" i="5"/>
  <c r="C6" i="5"/>
  <c r="G100" i="1" l="1"/>
  <c r="E25" i="2"/>
  <c r="I15" i="2"/>
  <c r="E15" i="2" s="1"/>
  <c r="E16" i="2"/>
  <c r="F90" i="1"/>
  <c r="E28" i="1"/>
  <c r="E35" i="1"/>
  <c r="E51" i="1"/>
  <c r="E63" i="1"/>
  <c r="E71" i="1"/>
  <c r="D12" i="5" l="1"/>
  <c r="G101" i="1"/>
  <c r="G91" i="1"/>
  <c r="E44" i="1"/>
  <c r="E40" i="1"/>
  <c r="E26" i="1"/>
  <c r="E62" i="1"/>
  <c r="E50" i="1"/>
  <c r="E43" i="1"/>
  <c r="E39" i="1"/>
  <c r="E34" i="1"/>
  <c r="D13" i="5" s="1"/>
  <c r="E73" i="1"/>
  <c r="E49" i="1"/>
  <c r="E42" i="1"/>
  <c r="E33" i="1"/>
  <c r="E64" i="1"/>
  <c r="E98" i="1" s="1"/>
  <c r="E54" i="1"/>
  <c r="E47" i="1"/>
  <c r="E41" i="1"/>
  <c r="E36" i="1"/>
  <c r="E32" i="1"/>
  <c r="F91" i="1"/>
  <c r="E29" i="1"/>
  <c r="D16" i="5" l="1"/>
  <c r="E55" i="1"/>
  <c r="D25" i="5"/>
  <c r="D17" i="5"/>
  <c r="D10" i="5"/>
  <c r="E97" i="1"/>
  <c r="E23" i="3" s="1"/>
  <c r="G92" i="1"/>
  <c r="G30" i="3" s="1"/>
  <c r="G21" i="3"/>
  <c r="F92" i="1"/>
  <c r="F21" i="3"/>
  <c r="H100" i="1"/>
  <c r="H101" i="1" s="1"/>
  <c r="E96" i="1"/>
  <c r="E94" i="1" s="1"/>
  <c r="E90" i="1"/>
  <c r="G8" i="3"/>
  <c r="G42" i="3" s="1"/>
  <c r="I25" i="3"/>
  <c r="E25" i="3" s="1"/>
  <c r="F14" i="2" l="1"/>
  <c r="F30" i="3"/>
  <c r="D24" i="5"/>
  <c r="D18" i="5"/>
  <c r="C10" i="5"/>
  <c r="E23" i="2"/>
  <c r="E21" i="2" s="1"/>
  <c r="G8" i="2" l="1"/>
  <c r="G14" i="2" s="1"/>
  <c r="F44" i="3"/>
  <c r="E38" i="1"/>
  <c r="E30" i="1" s="1"/>
  <c r="G43" i="3" l="1"/>
  <c r="H8" i="2"/>
  <c r="H43" i="3" s="1"/>
  <c r="G44" i="3"/>
  <c r="E100" i="1"/>
  <c r="E91" i="1" s="1"/>
  <c r="H91" i="1"/>
  <c r="I91" i="1"/>
  <c r="I21" i="3" s="1"/>
  <c r="E92" i="1" l="1"/>
  <c r="E30" i="3" s="1"/>
  <c r="E21" i="3"/>
  <c r="I92" i="1"/>
  <c r="I30" i="3" s="1"/>
  <c r="H92" i="1"/>
  <c r="H21" i="3"/>
  <c r="E101" i="1"/>
  <c r="F8" i="3"/>
  <c r="H30" i="3" l="1"/>
  <c r="H14" i="2"/>
  <c r="I8" i="2" s="1"/>
  <c r="F42" i="3"/>
  <c r="I13" i="3"/>
  <c r="H44" i="3" l="1"/>
  <c r="E8" i="2"/>
  <c r="I14" i="2"/>
  <c r="E14" i="2" s="1"/>
  <c r="I8" i="3"/>
  <c r="E13" i="3"/>
  <c r="I43" i="3"/>
  <c r="E43" i="3" s="1"/>
  <c r="B25" i="5"/>
  <c r="I42" i="3" l="1"/>
  <c r="E42" i="3" s="1"/>
  <c r="E8" i="3"/>
  <c r="I44" i="3"/>
  <c r="E44" i="3" s="1"/>
</calcChain>
</file>

<file path=xl/sharedStrings.xml><?xml version="1.0" encoding="utf-8"?>
<sst xmlns="http://schemas.openxmlformats.org/spreadsheetml/2006/main" count="281" uniqueCount="206">
  <si>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</si>
  <si>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</si>
  <si>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</si>
  <si>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</si>
  <si>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</si>
  <si>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</si>
  <si>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</si>
  <si>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</si>
  <si>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</si>
  <si>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</si>
  <si>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</si>
  <si>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</si>
  <si>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Директор</t>
  </si>
  <si>
    <t>Таблиця 1</t>
  </si>
  <si>
    <t>І. Формування фінансових результатів</t>
  </si>
  <si>
    <t>Найменування показника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</si>
  <si>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</si>
  <si>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</si>
  <si>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</si>
  <si>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</si>
  <si>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</si>
  <si>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</si>
  <si>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</si>
  <si>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</si>
  <si>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</si>
  <si>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</si>
  <si>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</si>
  <si>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</si>
  <si>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</si>
  <si>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</si>
  <si>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</si>
  <si>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</si>
  <si>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</si>
  <si>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</si>
  <si>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</si>
  <si>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</si>
  <si>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</si>
  <si>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</si>
  <si>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</si>
  <si>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</si>
  <si>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</si>
  <si>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</si>
  <si>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</si>
  <si>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</si>
  <si>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</si>
  <si>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</si>
  <si>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</si>
  <si>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</si>
  <si>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</si>
  <si>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</si>
  <si>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</si>
  <si>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</si>
  <si>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</si>
  <si>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</si>
  <si>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</si>
  <si>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</si>
  <si>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</si>
  <si>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</si>
  <si>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</si>
  <si>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</si>
  <si>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</si>
  <si>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</si>
  <si>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</si>
  <si>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</si>
  <si>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</si>
  <si>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</si>
  <si>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</si>
  <si>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</si>
  <si>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</si>
  <si>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</si>
  <si>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</si>
  <si>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</si>
  <si>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</si>
  <si>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</si>
  <si>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</si>
  <si>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</si>
  <si>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</si>
  <si>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Інші доходи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</si>
  <si>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</si>
  <si>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</si>
  <si>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</si>
  <si>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</si>
  <si>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</si>
  <si>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</si>
  <si>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Інші операційні витрати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</si>
  <si>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</si>
  <si>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</si>
  <si>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</si>
  <si>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</si>
  <si>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</si>
  <si>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</si>
  <si>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</si>
  <si>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</si>
  <si>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</si>
  <si>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</si>
  <si>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</si>
  <si>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</si>
  <si>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</si>
  <si>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Залишок нерозподіленого доходу на кінець звітного періоду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</si>
  <si>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</si>
  <si>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</si>
  <si>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</si>
  <si>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</si>
  <si>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</si>
  <si>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</si>
  <si>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</si>
  <si>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</si>
  <si>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</si>
  <si>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</si>
  <si>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Військовий збір 1,5%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</si>
  <si>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</si>
  <si>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</si>
  <si>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</si>
  <si>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</si>
  <si>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</si>
  <si>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</si>
  <si>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</si>
  <si>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</si>
  <si>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</si>
  <si>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</si>
  <si>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</si>
  <si>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</si>
  <si>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</si>
  <si>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</si>
  <si>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</si>
  <si>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</si>
  <si>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</si>
  <si>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</si>
  <si>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</si>
  <si>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</si>
  <si>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</si>
  <si>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</si>
  <si>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</si>
  <si>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</si>
  <si>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</si>
  <si>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</si>
  <si>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</si>
  <si>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</si>
  <si>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</si>
  <si>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</si>
  <si>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</si>
  <si>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</si>
  <si>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</si>
  <si>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</si>
  <si>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</si>
  <si>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</si>
  <si>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</si>
  <si>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</si>
  <si>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</si>
  <si>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</si>
  <si>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</si>
  <si>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</si>
  <si>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</si>
  <si>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</si>
  <si>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</si>
  <si>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</si>
  <si>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</si>
  <si>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</si>
  <si>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</si>
  <si>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</si>
  <si>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КНП «Малинський центр первинної медико-санітарної допомоги» ММР</t>
  </si>
  <si>
    <t>Загальна медична практика</t>
  </si>
  <si>
    <t>Олександр АНДРІЙЦЕВ</t>
  </si>
  <si>
    <t>КОМУНАЛЬНОГО НЕКОМЕРЦІЙНОГО ПІДПРИЄМСТВА «МАЛИНСЬКИЙ ЦЕНТР ПЕРВИННОЇ МЕДИКО-САНІТАРНОЇ ДОПОМОГИ» МАЛИНСЬКОЇ МІСЬКОЇ РАДИ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</si>
  <si>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</si>
  <si>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</si>
  <si>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</si>
  <si>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Матеріальні витрати, у тому числі(202+206+213+214+301+1002):</t>
  </si>
  <si>
    <t>витрати на комунальні послуги(203+209-212+221)</t>
  </si>
  <si>
    <t>придбання та супровід програмного забезпечення, обсл оргтехніки</t>
  </si>
  <si>
    <t>322+</t>
  </si>
  <si>
    <t>202+ пмм з цільових програм</t>
  </si>
  <si>
    <t>224+ періодичні видання, обслуговування сайтів, електронні ключі</t>
  </si>
  <si>
    <t>Медицина</t>
  </si>
  <si>
    <t>213+ господарчі та канцелярія та дрібне компютерне обладнання</t>
  </si>
  <si>
    <t>капітальні видатки таблиця 4</t>
  </si>
  <si>
    <t>Головний лікар</t>
  </si>
  <si>
    <t>Житомирська обл., Коростенський р-н, м.Малин, вул. Суворова, 83б</t>
  </si>
  <si>
    <t>У тому числі за кварталами</t>
  </si>
  <si>
    <t>І</t>
  </si>
  <si>
    <t>II</t>
  </si>
  <si>
    <t>III</t>
  </si>
  <si>
    <t>IV</t>
  </si>
  <si>
    <t>ФІНАНСОВИЙ ПЛАН</t>
  </si>
  <si>
    <t>Фінансовий план поточного року</t>
  </si>
  <si>
    <t>Факт минулого року</t>
  </si>
  <si>
    <t>Плановий рік (усього)</t>
  </si>
  <si>
    <t>Таблиця 3</t>
  </si>
  <si>
    <t>Плановий рік</t>
  </si>
  <si>
    <t>(страхові розділи авто сюди, мед. в п217</t>
  </si>
  <si>
    <t>страхування працівників</t>
  </si>
  <si>
    <t>нерозділено на курси</t>
  </si>
  <si>
    <t xml:space="preserve"> </t>
  </si>
  <si>
    <r>
      <t xml:space="preserve">Середня кількість працівників </t>
    </r>
    <r>
      <rPr>
        <sz val="12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 </t>
    </r>
    <r>
      <rPr>
        <b/>
        <sz val="12"/>
        <rFont val="Times New Roman"/>
        <family val="1"/>
        <charset val="204"/>
      </rPr>
      <t>у тому числі:</t>
    </r>
  </si>
  <si>
    <t>податок на доходи фізичних осіб(18%)</t>
  </si>
  <si>
    <t>Інші витрати (медичне обладнання та ін)</t>
  </si>
  <si>
    <t>тільки програми</t>
  </si>
  <si>
    <t>Інші витрати (міські програми підтримки охорони здоров'я)</t>
  </si>
  <si>
    <t>Відділ охорони здоров'я виконавчого комітету Малинської міської ради</t>
  </si>
  <si>
    <t>Інші цілі (відрахування на соціальні цілі)</t>
  </si>
  <si>
    <t>не вказано у затвердженому</t>
  </si>
  <si>
    <t>на 2026 рік</t>
  </si>
  <si>
    <t xml:space="preserve">Додаток 1 до рішення </t>
  </si>
  <si>
    <t xml:space="preserve"> Малинської міської ради </t>
  </si>
  <si>
    <t>79-ї сесії 8-го скликання</t>
  </si>
  <si>
    <t>від 24.12.2025 № 1606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</si>
</sst>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Calibri"/>
      <family val="2"/>
      <scheme val="minor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 applyFill="1" applyAlignment="1">
      <alignment vertical="center" wrapText="1"/>
    </xf>
    <xf numFmtId="0" fontId="2" fillId="0" borderId="0" xfId="0" applyFont="1" applyFill="1"/>
    <xf numFmtId="0" fontId="2" fillId="0" borderId="3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/>
    </xf>
    <xf numFmtId="0" fontId="1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164" fontId="1" fillId="0" borderId="3" xfId="0" applyNumberFormat="1" applyFont="1" applyFill="1" applyBorder="1" applyAlignment="1">
      <alignment horizontal="right" vertical="center" wrapText="1"/>
    </xf>
    <xf numFmtId="164" fontId="2" fillId="0" borderId="3" xfId="0" applyNumberFormat="1" applyFont="1" applyFill="1" applyBorder="1" applyAlignment="1">
      <alignment horizontal="right" vertical="center" wrapText="1"/>
    </xf>
    <xf numFmtId="164" fontId="1" fillId="0" borderId="3" xfId="0" applyNumberFormat="1" applyFont="1" applyFill="1" applyBorder="1" applyAlignment="1">
      <alignment vertical="center" wrapText="1"/>
    </xf>
    <xf numFmtId="0" fontId="1" fillId="0" borderId="0" xfId="0" applyFont="1" applyFill="1"/>
    <xf numFmtId="0" fontId="2" fillId="0" borderId="9" xfId="0" applyFont="1" applyFill="1" applyBorder="1" applyAlignment="1"/>
    <xf numFmtId="0" fontId="2" fillId="0" borderId="7" xfId="0" applyFont="1" applyFill="1" applyBorder="1" applyAlignment="1"/>
    <xf numFmtId="164" fontId="2" fillId="0" borderId="3" xfId="0" applyNumberFormat="1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/>
    <xf numFmtId="0" fontId="2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164" fontId="1" fillId="0" borderId="3" xfId="0" applyNumberFormat="1" applyFont="1" applyBorder="1" applyAlignment="1">
      <alignment vertical="center" wrapText="1"/>
    </xf>
    <xf numFmtId="164" fontId="2" fillId="0" borderId="3" xfId="0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/>
    </xf>
    <xf numFmtId="0" fontId="8" fillId="0" borderId="0" xfId="0" applyFont="1"/>
    <xf numFmtId="0" fontId="10" fillId="0" borderId="0" xfId="0" applyFont="1" applyAlignment="1">
      <alignment horizontal="center" vertical="center"/>
    </xf>
    <xf numFmtId="0" fontId="11" fillId="2" borderId="3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2" fillId="2" borderId="0" xfId="0" applyFont="1" applyFill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3" fillId="0" borderId="0" xfId="0" applyFont="1"/>
    <xf numFmtId="2" fontId="2" fillId="2" borderId="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/>
    <xf numFmtId="164" fontId="1" fillId="0" borderId="3" xfId="0" applyNumberFormat="1" applyFont="1" applyBorder="1" applyAlignment="1">
      <alignment horizontal="right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vertical="center" wrapText="1"/>
    </xf>
    <xf numFmtId="164" fontId="5" fillId="2" borderId="3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4" fillId="0" borderId="0" xfId="0" applyFont="1"/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2" fillId="0" borderId="3" xfId="0" applyFont="1" applyFill="1" applyBorder="1" applyAlignment="1">
      <alignment vertical="center"/>
    </xf>
    <xf numFmtId="0" fontId="2" fillId="0" borderId="3" xfId="0" applyFont="1" applyFill="1" applyBorder="1" applyAlignment="1"/>
    <xf numFmtId="0" fontId="2" fillId="0" borderId="4" xfId="0" applyFont="1" applyFill="1" applyBorder="1" applyAlignment="1"/>
    <xf numFmtId="164" fontId="1" fillId="0" borderId="10" xfId="0" applyNumberFormat="1" applyFont="1" applyFill="1" applyBorder="1" applyAlignment="1">
      <alignment horizontal="right" vertical="center" wrapText="1"/>
    </xf>
    <xf numFmtId="164" fontId="2" fillId="2" borderId="3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6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5"/>
  <sheetViews>
    <sheetView view="pageBreakPreview" topLeftCell="A49" zoomScaleNormal="100" zoomScaleSheetLayoutView="100" workbookViewId="0">
      <selection activeCell="F4" sqref="F4:I4"/>
    </sheetView>
  </sheetViews>
  <sheetFormatPr defaultColWidth="8.85546875" defaultRowHeight="15.75" x14ac:dyDescent="0.25"/>
  <cols>
    <col min="1" max="1" width="49.5703125" style="2" customWidth="1"/>
    <col min="2" max="2" width="8.28515625" style="4" customWidth="1"/>
    <col min="3" max="3" width="15.28515625" style="2" customWidth="1"/>
    <col min="4" max="4" width="17" style="2" customWidth="1"/>
    <col min="5" max="5" width="12.85546875" style="2" customWidth="1"/>
    <col min="6" max="6" width="10.28515625" style="2" customWidth="1"/>
    <col min="7" max="7" width="8.85546875" style="2"/>
    <col min="8" max="8" width="8.85546875" style="2" customWidth="1"/>
    <col min="9" max="9" width="10.85546875" style="2" customWidth="1"/>
    <col min="10" max="10" width="9.85546875" style="2" bestFit="1" customWidth="1"/>
    <col min="11" max="16384" width="8.85546875" style="2"/>
  </cols>
  <sheetData>
    <row r="1" spans="1:10" s="17" customFormat="1" ht="16.899999999999999" customHeight="1" x14ac:dyDescent="0.25">
      <c r="B1" s="16"/>
      <c r="C1" s="16"/>
      <c r="E1" s="72"/>
      <c r="F1" s="72"/>
      <c r="G1" s="86"/>
      <c r="H1" s="86"/>
      <c r="I1" s="87" t="s">
        <v>202</v>
      </c>
    </row>
    <row r="2" spans="1:10" s="17" customFormat="1" ht="15.6" customHeight="1" x14ac:dyDescent="0.25">
      <c r="E2" s="106" t="s">
        <v>203</v>
      </c>
      <c r="F2" s="106"/>
      <c r="G2" s="106"/>
      <c r="H2" s="106"/>
      <c r="I2" s="106"/>
    </row>
    <row r="3" spans="1:10" s="17" customFormat="1" ht="15" customHeight="1" x14ac:dyDescent="0.25">
      <c r="E3" s="106" t="s">
        <v>204</v>
      </c>
      <c r="F3" s="106"/>
      <c r="G3" s="106"/>
      <c r="H3" s="106"/>
      <c r="I3" s="106"/>
    </row>
    <row r="4" spans="1:10" s="17" customFormat="1" ht="15" customHeight="1" x14ac:dyDescent="0.25">
      <c r="B4" s="16"/>
      <c r="E4" s="72"/>
      <c r="F4" s="106" t="s">
        <v>205</v>
      </c>
      <c r="G4" s="106"/>
      <c r="H4" s="106"/>
      <c r="I4" s="106"/>
    </row>
    <row r="5" spans="1:10" x14ac:dyDescent="0.25">
      <c r="B5" s="2"/>
    </row>
    <row r="6" spans="1:10" x14ac:dyDescent="0.25">
      <c r="A6" s="23"/>
      <c r="B6" s="22"/>
      <c r="C6" s="22"/>
      <c r="D6" s="22"/>
      <c r="E6" s="22"/>
      <c r="F6" s="22"/>
      <c r="G6" s="103" t="s">
        <v>0</v>
      </c>
      <c r="H6" s="103"/>
      <c r="I6" s="104"/>
    </row>
    <row r="7" spans="1:10" ht="33" customHeight="1" x14ac:dyDescent="0.25">
      <c r="A7" s="5" t="s">
        <v>1</v>
      </c>
      <c r="B7" s="97" t="s">
        <v>160</v>
      </c>
      <c r="C7" s="98"/>
      <c r="D7" s="98"/>
      <c r="E7" s="98"/>
      <c r="F7" s="99"/>
      <c r="G7" s="105" t="s">
        <v>2</v>
      </c>
      <c r="H7" s="105"/>
      <c r="I7" s="6">
        <v>39385183</v>
      </c>
    </row>
    <row r="8" spans="1:10" ht="30.6" customHeight="1" x14ac:dyDescent="0.25">
      <c r="A8" s="5" t="s">
        <v>3</v>
      </c>
      <c r="B8" s="97" t="s">
        <v>198</v>
      </c>
      <c r="C8" s="98"/>
      <c r="D8" s="98"/>
      <c r="E8" s="98"/>
      <c r="F8" s="99"/>
      <c r="G8" s="105" t="s">
        <v>4</v>
      </c>
      <c r="H8" s="105"/>
      <c r="I8" s="5"/>
    </row>
    <row r="9" spans="1:10" ht="15.6" customHeight="1" x14ac:dyDescent="0.25">
      <c r="A9" s="5" t="s">
        <v>5</v>
      </c>
      <c r="B9" s="97" t="s">
        <v>173</v>
      </c>
      <c r="C9" s="98"/>
      <c r="D9" s="98"/>
      <c r="E9" s="98"/>
      <c r="F9" s="99"/>
      <c r="G9" s="105" t="s">
        <v>6</v>
      </c>
      <c r="H9" s="105"/>
      <c r="I9" s="88"/>
    </row>
    <row r="10" spans="1:10" ht="18" customHeight="1" x14ac:dyDescent="0.25">
      <c r="A10" s="6" t="s">
        <v>7</v>
      </c>
      <c r="B10" s="97" t="s">
        <v>161</v>
      </c>
      <c r="C10" s="98"/>
      <c r="D10" s="98"/>
      <c r="E10" s="98"/>
      <c r="F10" s="99"/>
      <c r="G10" s="105" t="s">
        <v>8</v>
      </c>
      <c r="H10" s="105"/>
      <c r="I10" s="88"/>
      <c r="J10" s="4"/>
    </row>
    <row r="11" spans="1:10" ht="27.6" customHeight="1" x14ac:dyDescent="0.25">
      <c r="A11" s="5" t="s">
        <v>9</v>
      </c>
      <c r="B11" s="97" t="s">
        <v>177</v>
      </c>
      <c r="C11" s="98"/>
      <c r="D11" s="98"/>
      <c r="E11" s="98"/>
      <c r="F11" s="99"/>
      <c r="G11" s="105" t="s">
        <v>10</v>
      </c>
      <c r="H11" s="105"/>
      <c r="I11" s="3"/>
    </row>
    <row r="12" spans="1:10" ht="13.9" customHeight="1" x14ac:dyDescent="0.25">
      <c r="A12" s="5" t="s">
        <v>11</v>
      </c>
      <c r="B12" s="100"/>
      <c r="C12" s="101"/>
      <c r="D12" s="101"/>
      <c r="E12" s="101"/>
      <c r="F12" s="102"/>
      <c r="G12" s="5"/>
      <c r="H12" s="89"/>
      <c r="I12" s="88"/>
    </row>
    <row r="13" spans="1:10" ht="16.149999999999999" customHeight="1" x14ac:dyDescent="0.25">
      <c r="A13" s="6" t="s">
        <v>12</v>
      </c>
      <c r="B13" s="97" t="s">
        <v>162</v>
      </c>
      <c r="C13" s="98"/>
      <c r="D13" s="98"/>
      <c r="E13" s="98"/>
      <c r="F13" s="99"/>
      <c r="G13" s="90"/>
      <c r="H13" s="90"/>
      <c r="I13" s="88"/>
    </row>
    <row r="14" spans="1:10" x14ac:dyDescent="0.25">
      <c r="A14" s="7"/>
      <c r="G14" s="76"/>
    </row>
    <row r="15" spans="1:10" ht="13.15" customHeight="1" x14ac:dyDescent="0.25">
      <c r="A15" s="108" t="s">
        <v>183</v>
      </c>
      <c r="B15" s="108"/>
      <c r="C15" s="108"/>
      <c r="D15" s="108"/>
      <c r="E15" s="108"/>
      <c r="F15" s="108"/>
      <c r="G15" s="108"/>
      <c r="H15" s="108"/>
      <c r="I15" s="108"/>
    </row>
    <row r="16" spans="1:10" ht="32.450000000000003" customHeight="1" x14ac:dyDescent="0.25">
      <c r="A16" s="110" t="s">
        <v>163</v>
      </c>
      <c r="B16" s="110"/>
      <c r="C16" s="110"/>
      <c r="D16" s="110"/>
      <c r="E16" s="110"/>
      <c r="F16" s="110"/>
      <c r="G16" s="110"/>
      <c r="H16" s="110"/>
      <c r="I16" s="110"/>
    </row>
    <row r="17" spans="1:12" x14ac:dyDescent="0.25">
      <c r="A17" s="108" t="s">
        <v>201</v>
      </c>
      <c r="B17" s="108"/>
      <c r="C17" s="108"/>
      <c r="D17" s="108"/>
      <c r="E17" s="108"/>
      <c r="F17" s="108"/>
      <c r="G17" s="108"/>
      <c r="H17" s="108"/>
      <c r="I17" s="108"/>
    </row>
    <row r="18" spans="1:12" x14ac:dyDescent="0.25">
      <c r="A18" s="8"/>
      <c r="F18" s="8"/>
      <c r="G18" s="1"/>
      <c r="I18" s="8" t="s">
        <v>13</v>
      </c>
    </row>
    <row r="19" spans="1:12" x14ac:dyDescent="0.25">
      <c r="A19" s="108" t="s">
        <v>14</v>
      </c>
      <c r="B19" s="108"/>
      <c r="C19" s="108"/>
      <c r="D19" s="108"/>
      <c r="E19" s="108"/>
      <c r="F19" s="108"/>
      <c r="G19" s="108"/>
      <c r="H19" s="108"/>
      <c r="I19" s="108"/>
    </row>
    <row r="20" spans="1:12" x14ac:dyDescent="0.25">
      <c r="G20" s="1"/>
    </row>
    <row r="21" spans="1:12" s="4" customFormat="1" ht="26.45" customHeight="1" x14ac:dyDescent="0.25">
      <c r="A21" s="107" t="s">
        <v>15</v>
      </c>
      <c r="B21" s="107" t="s">
        <v>89</v>
      </c>
      <c r="C21" s="107" t="s">
        <v>185</v>
      </c>
      <c r="D21" s="107" t="s">
        <v>184</v>
      </c>
      <c r="E21" s="107" t="s">
        <v>186</v>
      </c>
      <c r="F21" s="107" t="s">
        <v>178</v>
      </c>
      <c r="G21" s="107"/>
      <c r="H21" s="107"/>
      <c r="I21" s="107"/>
      <c r="J21" s="1"/>
    </row>
    <row r="22" spans="1:12" s="4" customFormat="1" ht="25.15" customHeight="1" x14ac:dyDescent="0.25">
      <c r="A22" s="107"/>
      <c r="B22" s="107"/>
      <c r="C22" s="107"/>
      <c r="D22" s="107"/>
      <c r="E22" s="107"/>
      <c r="F22" s="73" t="s">
        <v>179</v>
      </c>
      <c r="G22" s="73" t="s">
        <v>180</v>
      </c>
      <c r="H22" s="73" t="s">
        <v>181</v>
      </c>
      <c r="I22" s="73" t="s">
        <v>182</v>
      </c>
      <c r="J22" s="1"/>
    </row>
    <row r="23" spans="1:12" s="4" customFormat="1" x14ac:dyDescent="0.25">
      <c r="A23" s="25">
        <v>1</v>
      </c>
      <c r="B23" s="25">
        <v>2</v>
      </c>
      <c r="C23" s="25">
        <v>3</v>
      </c>
      <c r="D23" s="25">
        <v>4</v>
      </c>
      <c r="E23" s="73">
        <v>5</v>
      </c>
      <c r="F23" s="73">
        <v>6</v>
      </c>
      <c r="G23" s="73">
        <v>7</v>
      </c>
      <c r="H23" s="73">
        <v>8</v>
      </c>
      <c r="I23" s="73">
        <v>9</v>
      </c>
      <c r="J23" s="1"/>
    </row>
    <row r="24" spans="1:12" x14ac:dyDescent="0.25">
      <c r="A24" s="6" t="s">
        <v>16</v>
      </c>
      <c r="B24" s="77"/>
      <c r="C24" s="77"/>
      <c r="D24" s="77"/>
      <c r="E24" s="77"/>
      <c r="F24" s="3"/>
      <c r="G24" s="3"/>
      <c r="H24" s="3"/>
      <c r="I24" s="3"/>
      <c r="J24" s="1"/>
    </row>
    <row r="25" spans="1:12" ht="30.6" customHeight="1" x14ac:dyDescent="0.25">
      <c r="A25" s="6" t="s">
        <v>17</v>
      </c>
      <c r="B25" s="9">
        <v>100</v>
      </c>
      <c r="C25" s="18">
        <f>SUM(C26:C29)</f>
        <v>26819.899999999998</v>
      </c>
      <c r="D25" s="18">
        <f t="shared" ref="D25" si="0">SUM(D26:D29)</f>
        <v>27299</v>
      </c>
      <c r="E25" s="18">
        <f>SUM(F25:I25)</f>
        <v>25446.6</v>
      </c>
      <c r="F25" s="20">
        <f>SUM(F26:F29)</f>
        <v>6175.9</v>
      </c>
      <c r="G25" s="20">
        <f t="shared" ref="G25:I25" si="1">SUM(G26:G29)</f>
        <v>6174.9</v>
      </c>
      <c r="H25" s="20">
        <f t="shared" si="1"/>
        <v>6758.4</v>
      </c>
      <c r="I25" s="20">
        <f t="shared" si="1"/>
        <v>6337.4</v>
      </c>
      <c r="J25" s="1"/>
    </row>
    <row r="26" spans="1:12" x14ac:dyDescent="0.25">
      <c r="A26" s="10" t="s">
        <v>18</v>
      </c>
      <c r="B26" s="77">
        <v>101</v>
      </c>
      <c r="C26" s="19">
        <v>4853.6000000000004</v>
      </c>
      <c r="D26" s="19">
        <v>5000</v>
      </c>
      <c r="E26" s="19">
        <f t="shared" ref="E26:E77" si="2">SUM(F26:I26)</f>
        <v>6822.6</v>
      </c>
      <c r="F26" s="24">
        <f>F96+F38+330+300</f>
        <v>1610.9</v>
      </c>
      <c r="G26" s="24">
        <f>G96+G38+300+350+125</f>
        <v>1609.9</v>
      </c>
      <c r="H26" s="24">
        <f>H96+H38+300+350</f>
        <v>1974.4</v>
      </c>
      <c r="I26" s="24">
        <f>I96+I38+350+200</f>
        <v>1627.4</v>
      </c>
      <c r="J26" s="1"/>
    </row>
    <row r="27" spans="1:12" x14ac:dyDescent="0.25">
      <c r="A27" s="10" t="s">
        <v>19</v>
      </c>
      <c r="B27" s="77">
        <v>102</v>
      </c>
      <c r="C27" s="19"/>
      <c r="D27" s="19"/>
      <c r="E27" s="19"/>
      <c r="F27" s="24"/>
      <c r="G27" s="24"/>
      <c r="H27" s="24"/>
      <c r="I27" s="19"/>
      <c r="J27" s="1"/>
    </row>
    <row r="28" spans="1:12" x14ac:dyDescent="0.25">
      <c r="A28" s="10" t="s">
        <v>20</v>
      </c>
      <c r="B28" s="77">
        <v>103</v>
      </c>
      <c r="C28" s="19">
        <f>19674.4+58.6</f>
        <v>19733</v>
      </c>
      <c r="D28" s="19">
        <v>22040</v>
      </c>
      <c r="E28" s="19">
        <f t="shared" si="2"/>
        <v>18300</v>
      </c>
      <c r="F28" s="24">
        <f>1500*3</f>
        <v>4500</v>
      </c>
      <c r="G28" s="24">
        <f t="shared" ref="G28" si="3">1500*3</f>
        <v>4500</v>
      </c>
      <c r="H28" s="24">
        <f>1550*3</f>
        <v>4650</v>
      </c>
      <c r="I28" s="24">
        <f>1550*3</f>
        <v>4650</v>
      </c>
      <c r="J28" s="1"/>
    </row>
    <row r="29" spans="1:12" x14ac:dyDescent="0.25">
      <c r="A29" s="10" t="s">
        <v>21</v>
      </c>
      <c r="B29" s="77">
        <v>104</v>
      </c>
      <c r="C29" s="19">
        <v>2233.3000000000002</v>
      </c>
      <c r="D29" s="19">
        <v>259</v>
      </c>
      <c r="E29" s="19">
        <f t="shared" si="2"/>
        <v>324</v>
      </c>
      <c r="F29" s="24">
        <f>20*3+5</f>
        <v>65</v>
      </c>
      <c r="G29" s="24">
        <f>20*3+5</f>
        <v>65</v>
      </c>
      <c r="H29" s="24">
        <f>20*3+5+69</f>
        <v>134</v>
      </c>
      <c r="I29" s="24">
        <f t="shared" ref="I29" si="4">20*3</f>
        <v>60</v>
      </c>
      <c r="J29" s="1"/>
    </row>
    <row r="30" spans="1:12" ht="29.45" customHeight="1" x14ac:dyDescent="0.25">
      <c r="A30" s="6" t="s">
        <v>22</v>
      </c>
      <c r="B30" s="9">
        <v>200</v>
      </c>
      <c r="C30" s="18">
        <f t="shared" ref="C30:D30" si="5">SUM(C31:C54)</f>
        <v>20554.199999999993</v>
      </c>
      <c r="D30" s="18">
        <f t="shared" si="5"/>
        <v>21462</v>
      </c>
      <c r="E30" s="18">
        <f>SUM(E31:E54)</f>
        <v>20818.503999999997</v>
      </c>
      <c r="F30" s="20">
        <f>SUM(F31:F54)</f>
        <v>5123.826</v>
      </c>
      <c r="G30" s="20">
        <f t="shared" ref="G30:I30" si="6">SUM(G31:G54)</f>
        <v>4910.7260000000006</v>
      </c>
      <c r="H30" s="20">
        <f t="shared" si="6"/>
        <v>5606.1260000000002</v>
      </c>
      <c r="I30" s="20">
        <f t="shared" si="6"/>
        <v>5182.826</v>
      </c>
      <c r="J30" s="1"/>
    </row>
    <row r="31" spans="1:12" ht="22.15" customHeight="1" x14ac:dyDescent="0.25">
      <c r="A31" s="3" t="s">
        <v>23</v>
      </c>
      <c r="B31" s="77">
        <v>201</v>
      </c>
      <c r="C31" s="19"/>
      <c r="D31" s="19"/>
      <c r="E31" s="19"/>
      <c r="F31" s="24"/>
      <c r="G31" s="24"/>
      <c r="H31" s="24"/>
      <c r="I31" s="19"/>
      <c r="J31" s="1"/>
    </row>
    <row r="32" spans="1:12" ht="15" customHeight="1" x14ac:dyDescent="0.25">
      <c r="A32" s="3" t="s">
        <v>24</v>
      </c>
      <c r="B32" s="77">
        <v>202</v>
      </c>
      <c r="C32" s="19">
        <v>331.2</v>
      </c>
      <c r="D32" s="19">
        <v>400</v>
      </c>
      <c r="E32" s="19">
        <f t="shared" si="2"/>
        <v>250</v>
      </c>
      <c r="F32" s="24">
        <v>100</v>
      </c>
      <c r="G32" s="33">
        <v>50</v>
      </c>
      <c r="H32" s="24">
        <v>50</v>
      </c>
      <c r="I32" s="19">
        <v>50</v>
      </c>
      <c r="J32" s="1"/>
      <c r="L32" s="2" t="s">
        <v>171</v>
      </c>
    </row>
    <row r="33" spans="1:13" x14ac:dyDescent="0.25">
      <c r="A33" s="3" t="s">
        <v>25</v>
      </c>
      <c r="B33" s="77">
        <v>203</v>
      </c>
      <c r="C33" s="19">
        <v>383.1</v>
      </c>
      <c r="D33" s="19">
        <v>400</v>
      </c>
      <c r="E33" s="19">
        <f t="shared" si="2"/>
        <v>775.9</v>
      </c>
      <c r="F33" s="24">
        <v>185</v>
      </c>
      <c r="G33" s="33">
        <v>190.9</v>
      </c>
      <c r="H33" s="24">
        <v>200</v>
      </c>
      <c r="I33" s="24">
        <v>200</v>
      </c>
      <c r="J33" s="1"/>
    </row>
    <row r="34" spans="1:13" ht="19.149999999999999" customHeight="1" x14ac:dyDescent="0.25">
      <c r="A34" s="3" t="s">
        <v>26</v>
      </c>
      <c r="B34" s="77">
        <v>204</v>
      </c>
      <c r="C34" s="19">
        <v>13214.5</v>
      </c>
      <c r="D34" s="19">
        <v>13800</v>
      </c>
      <c r="E34" s="19">
        <f t="shared" si="2"/>
        <v>13623.2</v>
      </c>
      <c r="F34" s="24">
        <f>4188.3-F63</f>
        <v>3373.3</v>
      </c>
      <c r="G34" s="24">
        <f>4388.3-G63</f>
        <v>3388.3</v>
      </c>
      <c r="H34" s="24">
        <f>4388.3-H63</f>
        <v>3488.3</v>
      </c>
      <c r="I34" s="24">
        <f>4188.3-I63</f>
        <v>3373.3</v>
      </c>
      <c r="J34" s="94"/>
      <c r="K34" s="95"/>
      <c r="L34" s="95"/>
    </row>
    <row r="35" spans="1:13" x14ac:dyDescent="0.25">
      <c r="A35" s="3" t="s">
        <v>27</v>
      </c>
      <c r="B35" s="77">
        <v>205</v>
      </c>
      <c r="C35" s="19">
        <v>2823</v>
      </c>
      <c r="D35" s="19">
        <v>3036</v>
      </c>
      <c r="E35" s="19">
        <f t="shared" si="2"/>
        <v>2291.1040000000003</v>
      </c>
      <c r="F35" s="24">
        <f>F34*22%-F64</f>
        <v>579.12600000000009</v>
      </c>
      <c r="G35" s="24">
        <f>G34*22%-G64</f>
        <v>545.42600000000004</v>
      </c>
      <c r="H35" s="24">
        <f>H34*22%-H64</f>
        <v>587.42600000000004</v>
      </c>
      <c r="I35" s="24">
        <f>I34*22%-I64</f>
        <v>579.12600000000009</v>
      </c>
      <c r="J35" s="1"/>
    </row>
    <row r="36" spans="1:13" ht="52.9" customHeight="1" x14ac:dyDescent="0.25">
      <c r="A36" s="3" t="s">
        <v>28</v>
      </c>
      <c r="B36" s="77">
        <v>206</v>
      </c>
      <c r="C36" s="19">
        <v>151.4</v>
      </c>
      <c r="D36" s="19">
        <v>110</v>
      </c>
      <c r="E36" s="19">
        <f t="shared" si="2"/>
        <v>40</v>
      </c>
      <c r="F36" s="24">
        <v>10</v>
      </c>
      <c r="G36" s="24">
        <v>10</v>
      </c>
      <c r="H36" s="24">
        <v>10</v>
      </c>
      <c r="I36" s="19">
        <v>10</v>
      </c>
      <c r="J36" s="1"/>
    </row>
    <row r="37" spans="1:13" ht="33" customHeight="1" x14ac:dyDescent="0.25">
      <c r="A37" s="3" t="s">
        <v>29</v>
      </c>
      <c r="B37" s="77">
        <v>207</v>
      </c>
      <c r="C37" s="19"/>
      <c r="D37" s="19"/>
      <c r="E37" s="19"/>
      <c r="F37" s="24"/>
      <c r="G37" s="24"/>
      <c r="H37" s="24"/>
      <c r="I37" s="19"/>
      <c r="J37" s="1"/>
    </row>
    <row r="38" spans="1:13" ht="31.5" x14ac:dyDescent="0.25">
      <c r="A38" s="3" t="s">
        <v>197</v>
      </c>
      <c r="B38" s="77">
        <v>208</v>
      </c>
      <c r="C38" s="19">
        <v>1540.6</v>
      </c>
      <c r="D38" s="19">
        <v>1500</v>
      </c>
      <c r="E38" s="19">
        <f t="shared" si="2"/>
        <v>2000</v>
      </c>
      <c r="F38" s="24">
        <v>500</v>
      </c>
      <c r="G38" s="24">
        <v>500</v>
      </c>
      <c r="H38" s="24">
        <v>500</v>
      </c>
      <c r="I38" s="19">
        <v>500</v>
      </c>
      <c r="J38" s="94" t="s">
        <v>196</v>
      </c>
      <c r="K38" s="96"/>
      <c r="L38" s="96"/>
      <c r="M38" s="96"/>
    </row>
    <row r="39" spans="1:13" x14ac:dyDescent="0.25">
      <c r="A39" s="3" t="s">
        <v>31</v>
      </c>
      <c r="B39" s="77">
        <v>209</v>
      </c>
      <c r="C39" s="19">
        <v>537.6</v>
      </c>
      <c r="D39" s="19">
        <v>800</v>
      </c>
      <c r="E39" s="19">
        <f t="shared" si="2"/>
        <v>884</v>
      </c>
      <c r="F39" s="30">
        <v>226.4</v>
      </c>
      <c r="G39" s="30">
        <v>107.6</v>
      </c>
      <c r="H39" s="24">
        <v>250</v>
      </c>
      <c r="I39" s="19">
        <v>300</v>
      </c>
      <c r="J39" s="1"/>
    </row>
    <row r="40" spans="1:13" x14ac:dyDescent="0.25">
      <c r="A40" s="3" t="s">
        <v>32</v>
      </c>
      <c r="B40" s="77">
        <v>210</v>
      </c>
      <c r="C40" s="19">
        <v>200.6</v>
      </c>
      <c r="D40" s="19">
        <v>250</v>
      </c>
      <c r="E40" s="19">
        <f t="shared" si="2"/>
        <v>196.1</v>
      </c>
      <c r="F40" s="33">
        <v>51.1</v>
      </c>
      <c r="G40" s="33">
        <v>35</v>
      </c>
      <c r="H40" s="24">
        <v>50</v>
      </c>
      <c r="I40" s="19">
        <v>60</v>
      </c>
      <c r="J40" s="1"/>
    </row>
    <row r="41" spans="1:13" x14ac:dyDescent="0.25">
      <c r="A41" s="3" t="s">
        <v>33</v>
      </c>
      <c r="B41" s="77">
        <v>211</v>
      </c>
      <c r="C41" s="19">
        <v>24</v>
      </c>
      <c r="D41" s="19">
        <v>33</v>
      </c>
      <c r="E41" s="19">
        <f t="shared" si="2"/>
        <v>30</v>
      </c>
      <c r="F41" s="30">
        <v>15</v>
      </c>
      <c r="G41" s="30">
        <v>0</v>
      </c>
      <c r="H41" s="24">
        <v>0</v>
      </c>
      <c r="I41" s="19">
        <v>15</v>
      </c>
      <c r="J41" s="1"/>
    </row>
    <row r="42" spans="1:13" ht="18.600000000000001" customHeight="1" x14ac:dyDescent="0.25">
      <c r="A42" s="3" t="s">
        <v>34</v>
      </c>
      <c r="B42" s="77">
        <v>212</v>
      </c>
      <c r="C42" s="19">
        <v>263.8</v>
      </c>
      <c r="D42" s="19">
        <v>405</v>
      </c>
      <c r="E42" s="19">
        <f t="shared" si="2"/>
        <v>325</v>
      </c>
      <c r="F42" s="30">
        <v>1</v>
      </c>
      <c r="G42" s="30">
        <v>0</v>
      </c>
      <c r="H42" s="24">
        <v>323</v>
      </c>
      <c r="I42" s="19">
        <v>1</v>
      </c>
      <c r="J42" s="94"/>
      <c r="K42" s="96"/>
    </row>
    <row r="43" spans="1:13" ht="22.15" customHeight="1" x14ac:dyDescent="0.25">
      <c r="A43" s="3" t="s">
        <v>35</v>
      </c>
      <c r="B43" s="77">
        <v>213</v>
      </c>
      <c r="C43" s="19">
        <v>599</v>
      </c>
      <c r="D43" s="19">
        <v>180</v>
      </c>
      <c r="E43" s="19">
        <f t="shared" si="2"/>
        <v>100</v>
      </c>
      <c r="F43" s="24">
        <v>25</v>
      </c>
      <c r="G43" s="30">
        <v>25</v>
      </c>
      <c r="H43" s="24">
        <v>25</v>
      </c>
      <c r="I43" s="19">
        <v>25</v>
      </c>
      <c r="L43" s="26" t="s">
        <v>174</v>
      </c>
    </row>
    <row r="44" spans="1:13" ht="33.6" customHeight="1" x14ac:dyDescent="0.25">
      <c r="A44" s="3" t="s">
        <v>36</v>
      </c>
      <c r="B44" s="77">
        <v>214</v>
      </c>
      <c r="C44" s="19">
        <v>315.2</v>
      </c>
      <c r="D44" s="19">
        <v>320</v>
      </c>
      <c r="E44" s="19">
        <f t="shared" si="2"/>
        <v>140</v>
      </c>
      <c r="F44" s="24">
        <v>35</v>
      </c>
      <c r="G44" s="24">
        <v>35</v>
      </c>
      <c r="H44" s="24">
        <v>35</v>
      </c>
      <c r="I44" s="24">
        <v>35</v>
      </c>
      <c r="L44" s="67">
        <v>214</v>
      </c>
    </row>
    <row r="45" spans="1:13" x14ac:dyDescent="0.25">
      <c r="A45" s="3" t="s">
        <v>37</v>
      </c>
      <c r="B45" s="77">
        <v>215</v>
      </c>
      <c r="C45" s="19"/>
      <c r="D45" s="19"/>
      <c r="E45" s="19"/>
      <c r="F45" s="24"/>
      <c r="G45" s="30"/>
      <c r="H45" s="24"/>
      <c r="I45" s="19"/>
    </row>
    <row r="46" spans="1:13" x14ac:dyDescent="0.25">
      <c r="A46" s="3" t="s">
        <v>38</v>
      </c>
      <c r="B46" s="77">
        <v>216</v>
      </c>
      <c r="C46" s="19"/>
      <c r="D46" s="19"/>
      <c r="E46" s="19"/>
      <c r="F46" s="24"/>
      <c r="G46" s="30"/>
      <c r="H46" s="24"/>
      <c r="I46" s="19"/>
    </row>
    <row r="47" spans="1:13" x14ac:dyDescent="0.25">
      <c r="A47" s="3" t="s">
        <v>39</v>
      </c>
      <c r="B47" s="77">
        <v>217</v>
      </c>
      <c r="C47" s="19">
        <v>9.6</v>
      </c>
      <c r="D47" s="19">
        <v>21</v>
      </c>
      <c r="E47" s="19">
        <f t="shared" si="2"/>
        <v>31.5</v>
      </c>
      <c r="F47" s="24">
        <v>1.5</v>
      </c>
      <c r="G47" s="30">
        <v>0</v>
      </c>
      <c r="H47" s="24">
        <v>15</v>
      </c>
      <c r="I47" s="19">
        <v>15</v>
      </c>
      <c r="L47" s="2" t="s">
        <v>190</v>
      </c>
    </row>
    <row r="48" spans="1:13" ht="51.6" customHeight="1" x14ac:dyDescent="0.25">
      <c r="A48" s="3" t="s">
        <v>40</v>
      </c>
      <c r="B48" s="77">
        <v>218</v>
      </c>
      <c r="C48" s="19"/>
      <c r="D48" s="19"/>
      <c r="E48" s="19"/>
      <c r="F48" s="24">
        <v>1</v>
      </c>
      <c r="G48" s="33">
        <v>2</v>
      </c>
      <c r="H48" s="24">
        <v>1</v>
      </c>
      <c r="I48" s="19">
        <v>1</v>
      </c>
    </row>
    <row r="49" spans="1:14" x14ac:dyDescent="0.25">
      <c r="A49" s="3" t="s">
        <v>41</v>
      </c>
      <c r="B49" s="77">
        <v>219</v>
      </c>
      <c r="C49" s="19">
        <v>15.8</v>
      </c>
      <c r="D49" s="19">
        <v>48</v>
      </c>
      <c r="E49" s="19">
        <f t="shared" si="2"/>
        <v>25.1</v>
      </c>
      <c r="F49" s="33">
        <v>5</v>
      </c>
      <c r="G49" s="30">
        <v>6.1</v>
      </c>
      <c r="H49" s="24">
        <v>7</v>
      </c>
      <c r="I49" s="19">
        <v>7</v>
      </c>
    </row>
    <row r="50" spans="1:14" x14ac:dyDescent="0.25">
      <c r="A50" s="3" t="s">
        <v>42</v>
      </c>
      <c r="B50" s="77">
        <v>220</v>
      </c>
      <c r="C50" s="19">
        <v>85.4</v>
      </c>
      <c r="D50" s="19">
        <v>60</v>
      </c>
      <c r="E50" s="19">
        <f t="shared" si="2"/>
        <v>12</v>
      </c>
      <c r="F50" s="24">
        <v>3</v>
      </c>
      <c r="G50" s="24">
        <v>6</v>
      </c>
      <c r="H50" s="24">
        <v>3</v>
      </c>
      <c r="I50" s="19">
        <v>0</v>
      </c>
    </row>
    <row r="51" spans="1:14" x14ac:dyDescent="0.25">
      <c r="A51" s="3" t="s">
        <v>43</v>
      </c>
      <c r="B51" s="77">
        <v>221</v>
      </c>
      <c r="C51" s="19">
        <v>6.6</v>
      </c>
      <c r="D51" s="19">
        <v>14</v>
      </c>
      <c r="E51" s="19">
        <f t="shared" si="2"/>
        <v>6.6</v>
      </c>
      <c r="F51" s="30">
        <v>2.4</v>
      </c>
      <c r="G51" s="30">
        <v>1.4</v>
      </c>
      <c r="H51" s="30">
        <v>1.4</v>
      </c>
      <c r="I51" s="30">
        <v>1.4</v>
      </c>
    </row>
    <row r="52" spans="1:14" ht="19.899999999999999" customHeight="1" x14ac:dyDescent="0.25">
      <c r="A52" s="3" t="s">
        <v>44</v>
      </c>
      <c r="B52" s="77">
        <v>222</v>
      </c>
      <c r="C52" s="19"/>
      <c r="D52" s="19"/>
      <c r="E52" s="19"/>
      <c r="F52" s="30">
        <v>0</v>
      </c>
      <c r="G52" s="30"/>
      <c r="H52" s="24"/>
      <c r="I52" s="19"/>
    </row>
    <row r="53" spans="1:14" ht="19.149999999999999" customHeight="1" x14ac:dyDescent="0.25">
      <c r="A53" s="3" t="s">
        <v>45</v>
      </c>
      <c r="B53" s="77">
        <v>223</v>
      </c>
      <c r="C53" s="19"/>
      <c r="D53" s="19"/>
      <c r="E53" s="19"/>
      <c r="F53" s="24"/>
      <c r="G53" s="30"/>
      <c r="H53" s="24"/>
      <c r="I53" s="19"/>
    </row>
    <row r="54" spans="1:14" ht="18.600000000000001" customHeight="1" x14ac:dyDescent="0.25">
      <c r="A54" s="3" t="s">
        <v>46</v>
      </c>
      <c r="B54" s="77">
        <v>224</v>
      </c>
      <c r="C54" s="19">
        <v>52.8</v>
      </c>
      <c r="D54" s="19">
        <v>85</v>
      </c>
      <c r="E54" s="19">
        <f t="shared" si="2"/>
        <v>88</v>
      </c>
      <c r="F54" s="24">
        <v>10</v>
      </c>
      <c r="G54" s="30">
        <v>8</v>
      </c>
      <c r="H54" s="24">
        <v>60</v>
      </c>
      <c r="I54" s="19">
        <v>10</v>
      </c>
      <c r="L54" s="2" t="s">
        <v>172</v>
      </c>
      <c r="N54" s="2" t="s">
        <v>192</v>
      </c>
    </row>
    <row r="55" spans="1:14" ht="15" customHeight="1" x14ac:dyDescent="0.25">
      <c r="A55" s="6" t="s">
        <v>47</v>
      </c>
      <c r="B55" s="9">
        <v>300</v>
      </c>
      <c r="C55" s="20">
        <f>SUM(C56:C75)</f>
        <v>4576.7</v>
      </c>
      <c r="D55" s="20">
        <f>SUM(D56:D75)</f>
        <v>5649</v>
      </c>
      <c r="E55" s="20">
        <f>SUM(E56:E75)</f>
        <v>4513</v>
      </c>
      <c r="F55" s="20">
        <f t="shared" ref="F55:I55" si="7">SUM(F56:F75)</f>
        <v>1043</v>
      </c>
      <c r="G55" s="20">
        <f t="shared" si="7"/>
        <v>1263</v>
      </c>
      <c r="H55" s="20">
        <f t="shared" si="7"/>
        <v>1152</v>
      </c>
      <c r="I55" s="20">
        <f t="shared" si="7"/>
        <v>1055</v>
      </c>
    </row>
    <row r="56" spans="1:14" ht="33" customHeight="1" x14ac:dyDescent="0.25">
      <c r="A56" s="3" t="s">
        <v>48</v>
      </c>
      <c r="B56" s="77">
        <v>301</v>
      </c>
      <c r="C56" s="19">
        <v>88.7</v>
      </c>
      <c r="D56" s="19">
        <v>190</v>
      </c>
      <c r="E56" s="19">
        <f>SUM(F56:I56)</f>
        <v>100</v>
      </c>
      <c r="F56" s="24">
        <v>25</v>
      </c>
      <c r="G56" s="24">
        <v>25</v>
      </c>
      <c r="H56" s="24">
        <v>25</v>
      </c>
      <c r="I56" s="19">
        <v>25</v>
      </c>
    </row>
    <row r="57" spans="1:14" ht="15" customHeight="1" x14ac:dyDescent="0.25">
      <c r="A57" s="3" t="s">
        <v>49</v>
      </c>
      <c r="B57" s="77">
        <v>302</v>
      </c>
      <c r="C57" s="19"/>
      <c r="D57" s="19"/>
      <c r="E57" s="19"/>
      <c r="F57" s="24"/>
      <c r="G57" s="24"/>
      <c r="H57" s="24"/>
      <c r="I57" s="19"/>
    </row>
    <row r="58" spans="1:14" x14ac:dyDescent="0.25">
      <c r="A58" s="3" t="s">
        <v>50</v>
      </c>
      <c r="B58" s="77">
        <v>303</v>
      </c>
      <c r="C58" s="19"/>
      <c r="D58" s="19"/>
      <c r="E58" s="19"/>
      <c r="F58" s="24"/>
      <c r="G58" s="24"/>
      <c r="H58" s="24"/>
      <c r="I58" s="19"/>
    </row>
    <row r="59" spans="1:14" x14ac:dyDescent="0.25">
      <c r="A59" s="3" t="s">
        <v>51</v>
      </c>
      <c r="B59" s="77">
        <v>304</v>
      </c>
      <c r="C59" s="19"/>
      <c r="D59" s="19"/>
      <c r="E59" s="19"/>
      <c r="F59" s="24"/>
      <c r="G59" s="24"/>
      <c r="H59" s="24"/>
      <c r="I59" s="19"/>
      <c r="L59" s="2" t="s">
        <v>189</v>
      </c>
    </row>
    <row r="60" spans="1:14" x14ac:dyDescent="0.25">
      <c r="A60" s="3" t="s">
        <v>52</v>
      </c>
      <c r="B60" s="77">
        <v>305</v>
      </c>
      <c r="C60" s="19"/>
      <c r="D60" s="19"/>
      <c r="E60" s="19"/>
      <c r="F60" s="24"/>
      <c r="G60" s="24"/>
      <c r="H60" s="24"/>
      <c r="I60" s="19"/>
    </row>
    <row r="61" spans="1:14" x14ac:dyDescent="0.25">
      <c r="A61" s="3" t="s">
        <v>53</v>
      </c>
      <c r="B61" s="77">
        <v>306</v>
      </c>
      <c r="C61" s="19"/>
      <c r="D61" s="19"/>
      <c r="E61" s="19"/>
      <c r="F61" s="24"/>
      <c r="G61" s="24"/>
      <c r="H61" s="24"/>
      <c r="I61" s="19"/>
    </row>
    <row r="62" spans="1:14" x14ac:dyDescent="0.25">
      <c r="A62" s="3" t="s">
        <v>54</v>
      </c>
      <c r="B62" s="77">
        <v>307</v>
      </c>
      <c r="C62" s="19">
        <v>44.2</v>
      </c>
      <c r="D62" s="19">
        <v>86</v>
      </c>
      <c r="E62" s="19">
        <f t="shared" si="2"/>
        <v>62</v>
      </c>
      <c r="F62" s="24">
        <v>15</v>
      </c>
      <c r="G62" s="24">
        <v>13</v>
      </c>
      <c r="H62" s="24">
        <v>17</v>
      </c>
      <c r="I62" s="19">
        <v>17</v>
      </c>
    </row>
    <row r="63" spans="1:14" x14ac:dyDescent="0.25">
      <c r="A63" s="3" t="s">
        <v>55</v>
      </c>
      <c r="B63" s="77">
        <v>308</v>
      </c>
      <c r="C63" s="19">
        <v>3499.3</v>
      </c>
      <c r="D63" s="19">
        <v>4050</v>
      </c>
      <c r="E63" s="19">
        <f t="shared" si="2"/>
        <v>3530</v>
      </c>
      <c r="F63" s="24">
        <f>965-150</f>
        <v>815</v>
      </c>
      <c r="G63" s="24">
        <f>1150-150</f>
        <v>1000</v>
      </c>
      <c r="H63" s="24">
        <f>1150-250</f>
        <v>900</v>
      </c>
      <c r="I63" s="24">
        <f>965-150</f>
        <v>815</v>
      </c>
    </row>
    <row r="64" spans="1:14" x14ac:dyDescent="0.25">
      <c r="A64" s="3" t="s">
        <v>56</v>
      </c>
      <c r="B64" s="77">
        <v>309</v>
      </c>
      <c r="C64" s="19">
        <v>696.6</v>
      </c>
      <c r="D64" s="19">
        <v>810</v>
      </c>
      <c r="E64" s="19">
        <f t="shared" si="2"/>
        <v>706</v>
      </c>
      <c r="F64" s="24">
        <f>F63*20%</f>
        <v>163</v>
      </c>
      <c r="G64" s="24">
        <f t="shared" ref="G64:I64" si="8">G63*20%</f>
        <v>200</v>
      </c>
      <c r="H64" s="24">
        <f t="shared" si="8"/>
        <v>180</v>
      </c>
      <c r="I64" s="24">
        <f t="shared" si="8"/>
        <v>163</v>
      </c>
    </row>
    <row r="65" spans="1:13" ht="34.9" customHeight="1" x14ac:dyDescent="0.25">
      <c r="A65" s="3" t="s">
        <v>57</v>
      </c>
      <c r="B65" s="77">
        <v>310</v>
      </c>
      <c r="C65" s="19"/>
      <c r="D65" s="19"/>
      <c r="E65" s="19"/>
      <c r="F65" s="24"/>
      <c r="G65" s="24"/>
      <c r="H65" s="24"/>
      <c r="I65" s="19"/>
    </row>
    <row r="66" spans="1:13" ht="51" customHeight="1" x14ac:dyDescent="0.25">
      <c r="A66" s="3" t="s">
        <v>58</v>
      </c>
      <c r="B66" s="77">
        <v>311</v>
      </c>
      <c r="C66" s="19"/>
      <c r="D66" s="19"/>
      <c r="E66" s="19"/>
      <c r="F66" s="24"/>
      <c r="G66" s="24"/>
      <c r="H66" s="24"/>
      <c r="I66" s="19"/>
    </row>
    <row r="67" spans="1:13" ht="31.5" x14ac:dyDescent="0.25">
      <c r="A67" s="3" t="s">
        <v>164</v>
      </c>
      <c r="B67" s="77">
        <v>312</v>
      </c>
      <c r="C67" s="19"/>
      <c r="D67" s="19"/>
      <c r="E67" s="19"/>
      <c r="F67" s="24"/>
      <c r="G67" s="24"/>
      <c r="H67" s="24"/>
      <c r="I67" s="19"/>
    </row>
    <row r="68" spans="1:13" ht="34.15" customHeight="1" x14ac:dyDescent="0.25">
      <c r="A68" s="3" t="s">
        <v>59</v>
      </c>
      <c r="B68" s="77">
        <v>313</v>
      </c>
      <c r="C68" s="19"/>
      <c r="D68" s="19"/>
      <c r="E68" s="19"/>
      <c r="F68" s="24"/>
      <c r="G68" s="24"/>
      <c r="H68" s="24"/>
      <c r="I68" s="19"/>
    </row>
    <row r="69" spans="1:13" x14ac:dyDescent="0.25">
      <c r="A69" s="3" t="s">
        <v>60</v>
      </c>
      <c r="B69" s="77">
        <v>314</v>
      </c>
      <c r="C69" s="19"/>
      <c r="D69" s="19"/>
      <c r="E69" s="19"/>
      <c r="F69" s="24"/>
      <c r="G69" s="24"/>
      <c r="H69" s="24"/>
      <c r="I69" s="19"/>
    </row>
    <row r="70" spans="1:13" ht="15" customHeight="1" x14ac:dyDescent="0.25">
      <c r="A70" s="3" t="s">
        <v>61</v>
      </c>
      <c r="B70" s="77">
        <v>315</v>
      </c>
      <c r="C70" s="19"/>
      <c r="D70" s="19"/>
      <c r="E70" s="19"/>
      <c r="F70" s="24"/>
      <c r="G70" s="24"/>
      <c r="H70" s="24"/>
      <c r="I70" s="19"/>
    </row>
    <row r="71" spans="1:13" x14ac:dyDescent="0.25">
      <c r="A71" s="3" t="s">
        <v>62</v>
      </c>
      <c r="B71" s="77">
        <v>316</v>
      </c>
      <c r="C71" s="19">
        <v>60</v>
      </c>
      <c r="D71" s="19">
        <v>148</v>
      </c>
      <c r="E71" s="19">
        <f t="shared" si="2"/>
        <v>0</v>
      </c>
      <c r="F71" s="24">
        <v>0</v>
      </c>
      <c r="G71" s="24">
        <v>0</v>
      </c>
      <c r="H71" s="24">
        <v>0</v>
      </c>
      <c r="I71" s="19">
        <v>0</v>
      </c>
    </row>
    <row r="72" spans="1:13" x14ac:dyDescent="0.25">
      <c r="A72" s="3" t="s">
        <v>63</v>
      </c>
      <c r="B72" s="77">
        <v>317</v>
      </c>
      <c r="C72" s="19"/>
      <c r="D72" s="19"/>
      <c r="E72" s="19"/>
      <c r="F72" s="24"/>
      <c r="G72" s="24"/>
      <c r="H72" s="24"/>
      <c r="I72" s="19"/>
    </row>
    <row r="73" spans="1:13" ht="33.6" customHeight="1" x14ac:dyDescent="0.25">
      <c r="A73" s="3" t="s">
        <v>64</v>
      </c>
      <c r="B73" s="77">
        <v>318</v>
      </c>
      <c r="C73" s="19">
        <v>18.5</v>
      </c>
      <c r="D73" s="19">
        <v>60</v>
      </c>
      <c r="E73" s="19">
        <f t="shared" si="2"/>
        <v>15</v>
      </c>
      <c r="F73" s="24">
        <v>0</v>
      </c>
      <c r="G73" s="24">
        <v>0</v>
      </c>
      <c r="H73" s="24">
        <v>5</v>
      </c>
      <c r="I73" s="19">
        <v>10</v>
      </c>
    </row>
    <row r="74" spans="1:13" ht="31.9" customHeight="1" x14ac:dyDescent="0.25">
      <c r="A74" s="3" t="s">
        <v>65</v>
      </c>
      <c r="B74" s="77">
        <v>319</v>
      </c>
      <c r="C74" s="19"/>
      <c r="D74" s="19"/>
      <c r="E74" s="19"/>
      <c r="F74" s="24"/>
      <c r="G74" s="24"/>
      <c r="H74" s="24"/>
      <c r="I74" s="19"/>
    </row>
    <row r="75" spans="1:13" ht="51" customHeight="1" x14ac:dyDescent="0.25">
      <c r="A75" s="6" t="s">
        <v>66</v>
      </c>
      <c r="B75" s="9">
        <v>320</v>
      </c>
      <c r="C75" s="20">
        <f t="shared" ref="C75:D75" si="9">SUM(C76:C77)</f>
        <v>169.4</v>
      </c>
      <c r="D75" s="20">
        <f t="shared" si="9"/>
        <v>305</v>
      </c>
      <c r="E75" s="20">
        <f>SUM(E76:E77)</f>
        <v>100</v>
      </c>
      <c r="F75" s="20">
        <f>SUM(F76:F77)</f>
        <v>25</v>
      </c>
      <c r="G75" s="20">
        <f t="shared" ref="G75:I75" si="10">SUM(G76:G77)</f>
        <v>25</v>
      </c>
      <c r="H75" s="20">
        <f t="shared" si="10"/>
        <v>25</v>
      </c>
      <c r="I75" s="20">
        <f t="shared" si="10"/>
        <v>25</v>
      </c>
      <c r="L75" s="2" t="s">
        <v>191</v>
      </c>
    </row>
    <row r="76" spans="1:13" ht="15" customHeight="1" x14ac:dyDescent="0.25">
      <c r="A76" s="3" t="s">
        <v>67</v>
      </c>
      <c r="B76" s="77">
        <v>321</v>
      </c>
      <c r="C76" s="19"/>
      <c r="D76" s="19"/>
      <c r="E76" s="19"/>
      <c r="F76" s="24"/>
      <c r="G76" s="24"/>
      <c r="H76" s="19"/>
      <c r="I76" s="19"/>
    </row>
    <row r="77" spans="1:13" ht="15" customHeight="1" x14ac:dyDescent="0.25">
      <c r="A77" s="3" t="s">
        <v>68</v>
      </c>
      <c r="B77" s="77">
        <v>322</v>
      </c>
      <c r="C77" s="19">
        <v>169.4</v>
      </c>
      <c r="D77" s="19">
        <v>305</v>
      </c>
      <c r="E77" s="19">
        <f t="shared" si="2"/>
        <v>100</v>
      </c>
      <c r="F77" s="24">
        <v>25</v>
      </c>
      <c r="G77" s="24">
        <v>25</v>
      </c>
      <c r="H77" s="19">
        <v>25</v>
      </c>
      <c r="I77" s="19">
        <v>25</v>
      </c>
      <c r="L77" s="2" t="s">
        <v>170</v>
      </c>
      <c r="M77" s="2" t="s">
        <v>169</v>
      </c>
    </row>
    <row r="78" spans="1:13" x14ac:dyDescent="0.25">
      <c r="A78" s="6" t="s">
        <v>69</v>
      </c>
      <c r="B78" s="9">
        <v>400</v>
      </c>
      <c r="C78" s="20">
        <f t="shared" ref="C78:E78" si="11">SUM(C79:C87)</f>
        <v>0</v>
      </c>
      <c r="D78" s="20">
        <f t="shared" si="11"/>
        <v>0</v>
      </c>
      <c r="E78" s="20">
        <f t="shared" si="11"/>
        <v>0</v>
      </c>
      <c r="F78" s="20">
        <f>SUM(F79:F87)</f>
        <v>0</v>
      </c>
      <c r="G78" s="20">
        <f t="shared" ref="G78:I78" si="12">SUM(G79:G87)</f>
        <v>0</v>
      </c>
      <c r="H78" s="20">
        <f t="shared" si="12"/>
        <v>0</v>
      </c>
      <c r="I78" s="20">
        <f t="shared" si="12"/>
        <v>0</v>
      </c>
    </row>
    <row r="79" spans="1:13" x14ac:dyDescent="0.25">
      <c r="A79" s="3" t="s">
        <v>70</v>
      </c>
      <c r="B79" s="77">
        <v>401</v>
      </c>
      <c r="C79" s="19"/>
      <c r="D79" s="19"/>
      <c r="E79" s="19"/>
      <c r="F79" s="24"/>
      <c r="G79" s="24"/>
      <c r="H79" s="19"/>
      <c r="I79" s="19"/>
    </row>
    <row r="80" spans="1:13" x14ac:dyDescent="0.25">
      <c r="A80" s="3" t="s">
        <v>71</v>
      </c>
      <c r="B80" s="77">
        <v>402</v>
      </c>
      <c r="C80" s="19"/>
      <c r="D80" s="19"/>
      <c r="E80" s="19"/>
      <c r="F80" s="24"/>
      <c r="G80" s="24"/>
      <c r="H80" s="19"/>
      <c r="I80" s="19"/>
    </row>
    <row r="81" spans="1:12" x14ac:dyDescent="0.25">
      <c r="A81" s="3" t="s">
        <v>55</v>
      </c>
      <c r="B81" s="77">
        <v>403</v>
      </c>
      <c r="C81" s="19"/>
      <c r="D81" s="19"/>
      <c r="E81" s="19"/>
      <c r="F81" s="24"/>
      <c r="G81" s="24"/>
      <c r="H81" s="19"/>
      <c r="I81" s="19"/>
    </row>
    <row r="82" spans="1:12" x14ac:dyDescent="0.25">
      <c r="A82" s="3" t="s">
        <v>56</v>
      </c>
      <c r="B82" s="77">
        <v>404</v>
      </c>
      <c r="C82" s="19"/>
      <c r="D82" s="19"/>
      <c r="E82" s="19"/>
      <c r="F82" s="24"/>
      <c r="G82" s="24"/>
      <c r="H82" s="19"/>
      <c r="I82" s="19"/>
    </row>
    <row r="83" spans="1:12" ht="29.45" customHeight="1" x14ac:dyDescent="0.25">
      <c r="A83" s="3" t="s">
        <v>72</v>
      </c>
      <c r="B83" s="77">
        <v>405</v>
      </c>
      <c r="C83" s="19"/>
      <c r="D83" s="19"/>
      <c r="E83" s="19"/>
      <c r="F83" s="24"/>
      <c r="G83" s="24"/>
      <c r="H83" s="19"/>
      <c r="I83" s="19"/>
    </row>
    <row r="84" spans="1:12" x14ac:dyDescent="0.25">
      <c r="A84" s="3" t="s">
        <v>73</v>
      </c>
      <c r="B84" s="77">
        <v>406</v>
      </c>
      <c r="C84" s="19"/>
      <c r="D84" s="19"/>
      <c r="E84" s="19"/>
      <c r="F84" s="24"/>
      <c r="G84" s="24"/>
      <c r="H84" s="19"/>
      <c r="I84" s="19"/>
    </row>
    <row r="85" spans="1:12" x14ac:dyDescent="0.25">
      <c r="A85" s="3" t="s">
        <v>74</v>
      </c>
      <c r="B85" s="77">
        <v>407</v>
      </c>
      <c r="C85" s="19"/>
      <c r="D85" s="19"/>
      <c r="E85" s="19"/>
      <c r="F85" s="24"/>
      <c r="G85" s="24"/>
      <c r="H85" s="19"/>
      <c r="I85" s="19"/>
    </row>
    <row r="86" spans="1:12" ht="15" customHeight="1" x14ac:dyDescent="0.25">
      <c r="A86" s="3" t="s">
        <v>75</v>
      </c>
      <c r="B86" s="77">
        <v>408</v>
      </c>
      <c r="C86" s="19"/>
      <c r="D86" s="19"/>
      <c r="E86" s="19"/>
      <c r="F86" s="24"/>
      <c r="G86" s="24"/>
      <c r="H86" s="19"/>
      <c r="I86" s="19"/>
    </row>
    <row r="87" spans="1:12" ht="15" customHeight="1" x14ac:dyDescent="0.25">
      <c r="A87" s="3" t="s">
        <v>76</v>
      </c>
      <c r="B87" s="77">
        <v>409</v>
      </c>
      <c r="C87" s="19"/>
      <c r="D87" s="19"/>
      <c r="E87" s="19"/>
      <c r="F87" s="24"/>
      <c r="G87" s="24"/>
      <c r="H87" s="19"/>
      <c r="I87" s="19"/>
    </row>
    <row r="88" spans="1:12" x14ac:dyDescent="0.25">
      <c r="A88" s="3" t="s">
        <v>77</v>
      </c>
      <c r="B88" s="77">
        <v>500</v>
      </c>
      <c r="C88" s="19"/>
      <c r="D88" s="19"/>
      <c r="E88" s="19"/>
      <c r="F88" s="24"/>
      <c r="G88" s="24"/>
      <c r="H88" s="19"/>
      <c r="I88" s="19"/>
    </row>
    <row r="89" spans="1:12" x14ac:dyDescent="0.25">
      <c r="A89" s="3" t="s">
        <v>195</v>
      </c>
      <c r="B89" s="77">
        <v>600</v>
      </c>
      <c r="C89" s="19">
        <v>1112.0999999999999</v>
      </c>
      <c r="D89" s="19">
        <v>160</v>
      </c>
      <c r="E89" s="19">
        <f>SUM(F89:I89)</f>
        <v>0</v>
      </c>
      <c r="F89" s="24"/>
      <c r="G89" s="24"/>
      <c r="H89" s="19"/>
      <c r="I89" s="19"/>
      <c r="L89" s="2" t="s">
        <v>175</v>
      </c>
    </row>
    <row r="90" spans="1:12" s="21" customFormat="1" x14ac:dyDescent="0.25">
      <c r="A90" s="6" t="s">
        <v>78</v>
      </c>
      <c r="B90" s="9">
        <v>700</v>
      </c>
      <c r="C90" s="20">
        <f t="shared" ref="C90:E90" si="13">SUM(C25)</f>
        <v>26819.899999999998</v>
      </c>
      <c r="D90" s="20">
        <f t="shared" si="13"/>
        <v>27299</v>
      </c>
      <c r="E90" s="20">
        <f t="shared" si="13"/>
        <v>25446.6</v>
      </c>
      <c r="F90" s="20">
        <f>SUM(F25)</f>
        <v>6175.9</v>
      </c>
      <c r="G90" s="20">
        <f t="shared" ref="G90:I90" si="14">SUM(G25)</f>
        <v>6174.9</v>
      </c>
      <c r="H90" s="20">
        <f t="shared" si="14"/>
        <v>6758.4</v>
      </c>
      <c r="I90" s="20">
        <f t="shared" si="14"/>
        <v>6337.4</v>
      </c>
    </row>
    <row r="91" spans="1:12" s="21" customFormat="1" x14ac:dyDescent="0.25">
      <c r="A91" s="6" t="s">
        <v>79</v>
      </c>
      <c r="B91" s="9">
        <v>800</v>
      </c>
      <c r="C91" s="20">
        <f>SUM(C97:C100,C94)</f>
        <v>26242.999999999996</v>
      </c>
      <c r="D91" s="20">
        <f t="shared" ref="D91:E91" si="15">SUM(D97:D100,D94)</f>
        <v>27271</v>
      </c>
      <c r="E91" s="20">
        <f t="shared" si="15"/>
        <v>25331.503999999997</v>
      </c>
      <c r="F91" s="20">
        <f>SUM(F97:F100,F94)</f>
        <v>6166.826</v>
      </c>
      <c r="G91" s="20">
        <f>SUM(G97:G100,G94)</f>
        <v>6173.7260000000006</v>
      </c>
      <c r="H91" s="20">
        <f>SUM(H97:H100,H94)</f>
        <v>6758.1260000000002</v>
      </c>
      <c r="I91" s="20">
        <f t="shared" ref="I91" si="16">SUM(I97:I100,I94)</f>
        <v>6237.826</v>
      </c>
    </row>
    <row r="92" spans="1:12" s="21" customFormat="1" x14ac:dyDescent="0.25">
      <c r="A92" s="6" t="s">
        <v>80</v>
      </c>
      <c r="B92" s="9">
        <v>900</v>
      </c>
      <c r="C92" s="20">
        <f>C90-C91</f>
        <v>576.90000000000146</v>
      </c>
      <c r="D92" s="20">
        <f t="shared" ref="D92:E92" si="17">D90-D91</f>
        <v>28</v>
      </c>
      <c r="E92" s="20">
        <f t="shared" si="17"/>
        <v>115.09600000000137</v>
      </c>
      <c r="F92" s="91">
        <f>F90-F91</f>
        <v>9.0739999999996144</v>
      </c>
      <c r="G92" s="20">
        <f>G90-G91</f>
        <v>1.1739999999990687</v>
      </c>
      <c r="H92" s="20">
        <f t="shared" ref="H92" si="18">H90-H91</f>
        <v>0.27399999999943248</v>
      </c>
      <c r="I92" s="20">
        <f>I90-I91</f>
        <v>99.573999999999614</v>
      </c>
    </row>
    <row r="93" spans="1:12" x14ac:dyDescent="0.25">
      <c r="A93" s="6" t="s">
        <v>81</v>
      </c>
      <c r="B93" s="9"/>
      <c r="C93" s="18"/>
      <c r="D93" s="18"/>
      <c r="E93" s="19"/>
      <c r="F93" s="20"/>
      <c r="G93" s="20"/>
      <c r="H93" s="19"/>
      <c r="I93" s="19"/>
    </row>
    <row r="94" spans="1:12" ht="31.5" x14ac:dyDescent="0.25">
      <c r="A94" s="3" t="s">
        <v>167</v>
      </c>
      <c r="B94" s="77">
        <v>1000</v>
      </c>
      <c r="C94" s="24">
        <f>C36+C32+C44+C43+C56+C96</f>
        <v>2901.2</v>
      </c>
      <c r="D94" s="24">
        <f t="shared" ref="D94" si="19">D36+D32+D44+D43+D56+D96</f>
        <v>3102</v>
      </c>
      <c r="E94" s="24">
        <f>E36+E32+E44+E43+E56+E96</f>
        <v>2847.6</v>
      </c>
      <c r="F94" s="24">
        <f>F36+F32+F44+F43+F56+F96</f>
        <v>675.9</v>
      </c>
      <c r="G94" s="24">
        <f>G36+G32+G44+G43+G56+G96</f>
        <v>479.9</v>
      </c>
      <c r="H94" s="24">
        <f t="shared" ref="H94:I94" si="20">H36+H32+H44+H43+H56+H96</f>
        <v>969.4</v>
      </c>
      <c r="I94" s="24">
        <f t="shared" si="20"/>
        <v>722.4</v>
      </c>
      <c r="J94" s="1"/>
    </row>
    <row r="95" spans="1:12" ht="18" customHeight="1" x14ac:dyDescent="0.25">
      <c r="A95" s="3" t="s">
        <v>82</v>
      </c>
      <c r="B95" s="77">
        <v>1001</v>
      </c>
      <c r="C95" s="24"/>
      <c r="D95" s="24"/>
      <c r="E95" s="24"/>
      <c r="F95" s="24"/>
      <c r="G95" s="24"/>
      <c r="H95" s="19"/>
      <c r="I95" s="19"/>
      <c r="J95" s="1"/>
    </row>
    <row r="96" spans="1:12" ht="18" customHeight="1" x14ac:dyDescent="0.25">
      <c r="A96" s="3" t="s">
        <v>168</v>
      </c>
      <c r="B96" s="77">
        <v>1002</v>
      </c>
      <c r="C96" s="24">
        <f>C33+C39+C40+C41+C42+C51</f>
        <v>1415.6999999999998</v>
      </c>
      <c r="D96" s="24">
        <f t="shared" ref="D96" si="21">D33+D39+D40+D41+D42+D51</f>
        <v>1902</v>
      </c>
      <c r="E96" s="24">
        <f>E33+E39+E40+E41+E42+E51</f>
        <v>2217.6</v>
      </c>
      <c r="F96" s="24">
        <f>F33+F39+F40+F41+F42+F51</f>
        <v>480.9</v>
      </c>
      <c r="G96" s="24">
        <f t="shared" ref="G96:I96" si="22">G33+G39+G40+G41+G42+G51</f>
        <v>334.9</v>
      </c>
      <c r="H96" s="24">
        <f t="shared" si="22"/>
        <v>824.4</v>
      </c>
      <c r="I96" s="24">
        <f t="shared" si="22"/>
        <v>577.4</v>
      </c>
      <c r="J96" s="11"/>
    </row>
    <row r="97" spans="1:10" x14ac:dyDescent="0.25">
      <c r="A97" s="3" t="s">
        <v>26</v>
      </c>
      <c r="B97" s="77">
        <v>1100</v>
      </c>
      <c r="C97" s="24">
        <f t="shared" ref="C97:D97" si="23">C34+C63+C81</f>
        <v>16713.8</v>
      </c>
      <c r="D97" s="24">
        <f t="shared" si="23"/>
        <v>17850</v>
      </c>
      <c r="E97" s="24">
        <f t="shared" ref="E97:E98" si="24">E34+E63+E81</f>
        <v>17153.2</v>
      </c>
      <c r="F97" s="24">
        <f>F34+F63+F81</f>
        <v>4188.3</v>
      </c>
      <c r="G97" s="24">
        <f t="shared" ref="G97:I97" si="25">G34+G63+G81</f>
        <v>4388.3</v>
      </c>
      <c r="H97" s="24">
        <f t="shared" si="25"/>
        <v>4388.3</v>
      </c>
      <c r="I97" s="24">
        <f t="shared" si="25"/>
        <v>4188.3</v>
      </c>
      <c r="J97" s="11"/>
    </row>
    <row r="98" spans="1:10" x14ac:dyDescent="0.25">
      <c r="A98" s="3" t="s">
        <v>27</v>
      </c>
      <c r="B98" s="77">
        <v>1200</v>
      </c>
      <c r="C98" s="24">
        <f t="shared" ref="C98:D98" si="26">C35+C64+C82</f>
        <v>3519.6</v>
      </c>
      <c r="D98" s="24">
        <f t="shared" si="26"/>
        <v>3846</v>
      </c>
      <c r="E98" s="24">
        <f t="shared" si="24"/>
        <v>2997.1040000000003</v>
      </c>
      <c r="F98" s="24">
        <f>F35+F64+F82</f>
        <v>742.12600000000009</v>
      </c>
      <c r="G98" s="24">
        <f t="shared" ref="G98:I98" si="27">G35+G64+G82</f>
        <v>745.42600000000004</v>
      </c>
      <c r="H98" s="24">
        <f t="shared" si="27"/>
        <v>767.42600000000004</v>
      </c>
      <c r="I98" s="24">
        <f t="shared" si="27"/>
        <v>742.12600000000009</v>
      </c>
    </row>
    <row r="99" spans="1:10" x14ac:dyDescent="0.25">
      <c r="A99" s="3" t="s">
        <v>83</v>
      </c>
      <c r="B99" s="77">
        <v>1300</v>
      </c>
      <c r="C99" s="24"/>
      <c r="D99" s="24"/>
      <c r="E99" s="24"/>
      <c r="F99" s="24"/>
      <c r="G99" s="24"/>
      <c r="H99" s="19"/>
      <c r="I99" s="19"/>
    </row>
    <row r="100" spans="1:10" x14ac:dyDescent="0.25">
      <c r="A100" s="3" t="s">
        <v>84</v>
      </c>
      <c r="B100" s="77">
        <v>1400</v>
      </c>
      <c r="C100" s="24">
        <f>SUM(C37:C38,C45:C50,C52:C54,C57:C62,C65:C75,C78,C89)</f>
        <v>3108.3999999999996</v>
      </c>
      <c r="D100" s="24">
        <f t="shared" ref="D100" si="28">SUM(D37:D38,D45:D50,D52:D54,D57:D62,D65:D75,D78,D89)</f>
        <v>2473</v>
      </c>
      <c r="E100" s="24">
        <f>SUM(E37:E38,E45:E50,E52:E54,E57:E62,E65:E75,E78,E89)</f>
        <v>2333.6</v>
      </c>
      <c r="F100" s="24">
        <f>SUM(F37:F38,F45:F50,F52:F54,F57:F62,F65:F75,F78,F89)</f>
        <v>560.5</v>
      </c>
      <c r="G100" s="24">
        <f t="shared" ref="G100:I100" si="29">SUM(G37:G38,G45:G50,G52:G54,G57:G62,G65:G75,G78,G89)</f>
        <v>560.1</v>
      </c>
      <c r="H100" s="24">
        <f t="shared" si="29"/>
        <v>633</v>
      </c>
      <c r="I100" s="24">
        <f t="shared" si="29"/>
        <v>585</v>
      </c>
    </row>
    <row r="101" spans="1:10" s="21" customFormat="1" x14ac:dyDescent="0.25">
      <c r="A101" s="6" t="s">
        <v>85</v>
      </c>
      <c r="B101" s="9">
        <v>1500</v>
      </c>
      <c r="C101" s="20">
        <f t="shared" ref="C101:D101" si="30">SUM(C97:C100,C94)</f>
        <v>26242.999999999996</v>
      </c>
      <c r="D101" s="20">
        <f t="shared" si="30"/>
        <v>27271</v>
      </c>
      <c r="E101" s="20">
        <f>SUM(E97:E100,E94)</f>
        <v>25331.503999999997</v>
      </c>
      <c r="F101" s="20">
        <f>SUM(F97:F100,F94)</f>
        <v>6166.826</v>
      </c>
      <c r="G101" s="20">
        <f t="shared" ref="G101:I101" si="31">SUM(G97:G100,G94)</f>
        <v>6173.7260000000006</v>
      </c>
      <c r="H101" s="20">
        <f t="shared" si="31"/>
        <v>6758.1260000000002</v>
      </c>
      <c r="I101" s="20">
        <f t="shared" si="31"/>
        <v>6237.826</v>
      </c>
    </row>
    <row r="102" spans="1:10" x14ac:dyDescent="0.25">
      <c r="A102" s="12"/>
      <c r="B102" s="11"/>
      <c r="C102" s="11"/>
      <c r="D102" s="11"/>
      <c r="E102" s="11"/>
      <c r="F102" s="1"/>
      <c r="H102" s="1"/>
      <c r="I102" s="1"/>
    </row>
    <row r="103" spans="1:10" x14ac:dyDescent="0.25">
      <c r="A103" s="78"/>
      <c r="B103" s="1"/>
      <c r="C103" s="1"/>
      <c r="D103" s="1"/>
      <c r="E103" s="1"/>
      <c r="F103" s="1"/>
      <c r="H103" s="1"/>
      <c r="I103" s="1"/>
    </row>
    <row r="104" spans="1:10" ht="16.149999999999999" customHeight="1" thickBot="1" x14ac:dyDescent="0.3">
      <c r="A104" s="13" t="s">
        <v>176</v>
      </c>
      <c r="B104" s="14"/>
      <c r="C104" s="14"/>
      <c r="D104" s="14"/>
      <c r="E104" s="74"/>
      <c r="F104" s="74"/>
      <c r="G104" s="109" t="s">
        <v>162</v>
      </c>
      <c r="H104" s="109"/>
      <c r="I104" s="109"/>
    </row>
    <row r="105" spans="1:10" ht="15.6" customHeight="1" x14ac:dyDescent="0.25">
      <c r="A105" s="15" t="s">
        <v>86</v>
      </c>
      <c r="B105" s="27" t="s">
        <v>87</v>
      </c>
      <c r="C105" s="95"/>
      <c r="D105" s="95"/>
      <c r="E105" s="75"/>
      <c r="F105" s="75"/>
      <c r="G105" s="95" t="s">
        <v>88</v>
      </c>
      <c r="H105" s="95"/>
      <c r="I105" s="95"/>
    </row>
  </sheetData>
  <mergeCells count="32">
    <mergeCell ref="E2:I2"/>
    <mergeCell ref="E3:I3"/>
    <mergeCell ref="F4:I4"/>
    <mergeCell ref="C105:D105"/>
    <mergeCell ref="A21:A22"/>
    <mergeCell ref="B21:B22"/>
    <mergeCell ref="F21:I21"/>
    <mergeCell ref="C21:C22"/>
    <mergeCell ref="D21:D22"/>
    <mergeCell ref="E21:E22"/>
    <mergeCell ref="A19:I19"/>
    <mergeCell ref="G104:I104"/>
    <mergeCell ref="G105:I105"/>
    <mergeCell ref="A15:I15"/>
    <mergeCell ref="A16:I16"/>
    <mergeCell ref="A17:I17"/>
    <mergeCell ref="B10:F10"/>
    <mergeCell ref="G6:I6"/>
    <mergeCell ref="B11:F11"/>
    <mergeCell ref="B9:F9"/>
    <mergeCell ref="B8:F8"/>
    <mergeCell ref="B7:F7"/>
    <mergeCell ref="G7:H7"/>
    <mergeCell ref="G8:H8"/>
    <mergeCell ref="G9:H9"/>
    <mergeCell ref="G11:H11"/>
    <mergeCell ref="G10:H10"/>
    <mergeCell ref="J34:L34"/>
    <mergeCell ref="J42:K42"/>
    <mergeCell ref="J38:M38"/>
    <mergeCell ref="B13:F13"/>
    <mergeCell ref="B12:F12"/>
  </mergeCells>
  <pageMargins left="0.31496062992125984" right="0.11811023622047245" top="0.15748031496062992" bottom="0.15748031496062992" header="0.31496062992125984" footer="0.31496062992125984"/>
  <pageSetup paperSize="9" fitToWidth="0" orientation="landscape" r:id="rId1"/>
  <rowBreaks count="3" manualBreakCount="3">
    <brk id="29" max="8" man="1"/>
    <brk id="54" max="8" man="1"/>
    <brk id="77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1"/>
  <sheetViews>
    <sheetView topLeftCell="A19" workbookViewId="0">
      <selection activeCell="P11" sqref="P11"/>
    </sheetView>
  </sheetViews>
  <sheetFormatPr defaultColWidth="8.85546875" defaultRowHeight="15.75" x14ac:dyDescent="0.25"/>
  <cols>
    <col min="1" max="1" width="47.42578125" style="29" customWidth="1"/>
    <col min="2" max="2" width="8.85546875" style="29"/>
    <col min="3" max="3" width="13.7109375" style="29" customWidth="1"/>
    <col min="4" max="4" width="15.85546875" style="29" customWidth="1"/>
    <col min="5" max="5" width="12.28515625" style="29" customWidth="1"/>
    <col min="6" max="6" width="11.42578125" style="29" customWidth="1"/>
    <col min="7" max="16384" width="8.85546875" style="29"/>
  </cols>
  <sheetData>
    <row r="1" spans="1:10" x14ac:dyDescent="0.25">
      <c r="D1" s="28"/>
      <c r="F1" s="28"/>
      <c r="H1" s="111" t="s">
        <v>90</v>
      </c>
      <c r="I1" s="111"/>
    </row>
    <row r="2" spans="1:10" x14ac:dyDescent="0.25">
      <c r="A2" s="113" t="s">
        <v>91</v>
      </c>
      <c r="B2" s="113"/>
      <c r="C2" s="113"/>
      <c r="D2" s="113"/>
      <c r="E2" s="113"/>
      <c r="F2" s="113"/>
      <c r="G2" s="113"/>
      <c r="H2" s="113"/>
      <c r="I2" s="113"/>
    </row>
    <row r="3" spans="1:10" ht="8.4499999999999993" customHeight="1" x14ac:dyDescent="0.25"/>
    <row r="4" spans="1:10" ht="15" customHeight="1" x14ac:dyDescent="0.25">
      <c r="A4" s="115" t="s">
        <v>15</v>
      </c>
      <c r="B4" s="115" t="s">
        <v>89</v>
      </c>
      <c r="C4" s="107" t="s">
        <v>185</v>
      </c>
      <c r="D4" s="107" t="s">
        <v>184</v>
      </c>
      <c r="E4" s="107" t="s">
        <v>186</v>
      </c>
      <c r="F4" s="107" t="s">
        <v>178</v>
      </c>
      <c r="G4" s="107"/>
      <c r="H4" s="107"/>
      <c r="I4" s="107"/>
      <c r="J4" s="46"/>
    </row>
    <row r="5" spans="1:10" ht="37.15" customHeight="1" x14ac:dyDescent="0.25">
      <c r="A5" s="115"/>
      <c r="B5" s="115"/>
      <c r="C5" s="107"/>
      <c r="D5" s="107"/>
      <c r="E5" s="107"/>
      <c r="F5" s="25" t="s">
        <v>179</v>
      </c>
      <c r="G5" s="25" t="s">
        <v>180</v>
      </c>
      <c r="H5" s="25" t="s">
        <v>181</v>
      </c>
      <c r="I5" s="25" t="s">
        <v>182</v>
      </c>
      <c r="J5" s="34"/>
    </row>
    <row r="6" spans="1:10" x14ac:dyDescent="0.25">
      <c r="A6" s="68">
        <v>1</v>
      </c>
      <c r="B6" s="68">
        <v>2</v>
      </c>
      <c r="C6" s="79">
        <v>3</v>
      </c>
      <c r="D6" s="68">
        <v>4</v>
      </c>
      <c r="E6" s="71">
        <v>5</v>
      </c>
      <c r="F6" s="71">
        <v>6</v>
      </c>
      <c r="G6" s="71">
        <v>7</v>
      </c>
      <c r="H6" s="71">
        <v>8</v>
      </c>
      <c r="I6" s="71">
        <v>9</v>
      </c>
      <c r="J6" s="34"/>
    </row>
    <row r="7" spans="1:10" ht="17.45" customHeight="1" x14ac:dyDescent="0.25">
      <c r="A7" s="31" t="s">
        <v>92</v>
      </c>
      <c r="B7" s="31"/>
      <c r="C7" s="31"/>
      <c r="D7" s="31"/>
      <c r="E7" s="31"/>
      <c r="F7" s="30"/>
      <c r="G7" s="30"/>
      <c r="H7" s="30"/>
      <c r="I7" s="30"/>
      <c r="J7" s="46"/>
    </row>
    <row r="8" spans="1:10" s="62" customFormat="1" ht="37.9" customHeight="1" x14ac:dyDescent="0.25">
      <c r="A8" s="31" t="s">
        <v>93</v>
      </c>
      <c r="B8" s="31">
        <v>2000</v>
      </c>
      <c r="C8" s="32">
        <v>58.6</v>
      </c>
      <c r="D8" s="32">
        <v>248.1</v>
      </c>
      <c r="E8" s="32">
        <f>SUM(F8:I8)</f>
        <v>329.44399999999644</v>
      </c>
      <c r="F8" s="32">
        <v>74.900000000000006</v>
      </c>
      <c r="G8" s="63">
        <f>F14</f>
        <v>83.97399999999962</v>
      </c>
      <c r="H8" s="63">
        <f t="shared" ref="H8:I8" si="0">G14</f>
        <v>85.147999999998689</v>
      </c>
      <c r="I8" s="63">
        <f t="shared" si="0"/>
        <v>85.421999999998121</v>
      </c>
      <c r="J8" s="61"/>
    </row>
    <row r="9" spans="1:10" ht="34.15" customHeight="1" x14ac:dyDescent="0.25">
      <c r="A9" s="30" t="s">
        <v>94</v>
      </c>
      <c r="B9" s="30">
        <v>2001</v>
      </c>
      <c r="C9" s="33">
        <f>C13</f>
        <v>177.2</v>
      </c>
      <c r="D9" s="33"/>
      <c r="E9" s="33"/>
      <c r="F9" s="33"/>
      <c r="G9" s="33"/>
      <c r="H9" s="81"/>
      <c r="I9" s="81"/>
      <c r="J9" s="46"/>
    </row>
    <row r="10" spans="1:10" ht="18.600000000000001" customHeight="1" x14ac:dyDescent="0.25">
      <c r="A10" s="30" t="s">
        <v>95</v>
      </c>
      <c r="B10" s="30">
        <v>2002</v>
      </c>
      <c r="C10" s="33"/>
      <c r="D10" s="33"/>
      <c r="E10" s="33"/>
      <c r="F10" s="33"/>
      <c r="G10" s="33"/>
      <c r="H10" s="81"/>
      <c r="I10" s="81"/>
      <c r="J10" s="46"/>
    </row>
    <row r="11" spans="1:10" ht="32.450000000000003" customHeight="1" x14ac:dyDescent="0.25">
      <c r="A11" s="30" t="s">
        <v>96</v>
      </c>
      <c r="B11" s="30">
        <v>2003</v>
      </c>
      <c r="C11" s="33"/>
      <c r="D11" s="33"/>
      <c r="E11" s="33"/>
      <c r="F11" s="33"/>
      <c r="G11" s="33"/>
      <c r="H11" s="81"/>
      <c r="I11" s="81"/>
      <c r="J11" s="46"/>
    </row>
    <row r="12" spans="1:10" ht="20.45" customHeight="1" x14ac:dyDescent="0.25">
      <c r="A12" s="30" t="s">
        <v>97</v>
      </c>
      <c r="B12" s="30">
        <v>2004</v>
      </c>
      <c r="C12" s="33"/>
      <c r="D12" s="33"/>
      <c r="E12" s="33"/>
      <c r="F12" s="33"/>
      <c r="G12" s="33"/>
      <c r="H12" s="81"/>
      <c r="I12" s="81"/>
      <c r="J12" s="46"/>
    </row>
    <row r="13" spans="1:10" ht="18" customHeight="1" x14ac:dyDescent="0.25">
      <c r="A13" s="30" t="s">
        <v>199</v>
      </c>
      <c r="B13" s="30">
        <v>2005</v>
      </c>
      <c r="C13" s="33">
        <v>177.2</v>
      </c>
      <c r="D13" s="33"/>
      <c r="E13" s="33"/>
      <c r="F13" s="33"/>
      <c r="G13" s="33"/>
      <c r="H13" s="33"/>
      <c r="I13" s="33"/>
      <c r="J13" s="46"/>
    </row>
    <row r="14" spans="1:10" ht="34.15" customHeight="1" x14ac:dyDescent="0.25">
      <c r="A14" s="30" t="s">
        <v>98</v>
      </c>
      <c r="B14" s="30">
        <v>2006</v>
      </c>
      <c r="C14" s="33">
        <v>576.9</v>
      </c>
      <c r="D14" s="33">
        <v>74.900000000000006</v>
      </c>
      <c r="E14" s="33">
        <f>SUM(F14:I14)</f>
        <v>439.53999999999417</v>
      </c>
      <c r="F14" s="33">
        <f>'Таблиця 1'!F92+'Таблиця 2'!F8</f>
        <v>83.97399999999962</v>
      </c>
      <c r="G14" s="33">
        <f>'Таблиця 1'!G92+'Таблиця 2'!G8</f>
        <v>85.147999999998689</v>
      </c>
      <c r="H14" s="33">
        <f>'Таблиця 1'!H92+'Таблиця 2'!H8</f>
        <v>85.421999999998121</v>
      </c>
      <c r="I14" s="33">
        <f>'Таблиця 1'!I92+'Таблиця 2'!I8</f>
        <v>184.99599999999774</v>
      </c>
      <c r="J14" s="46"/>
    </row>
    <row r="15" spans="1:10" ht="47.45" customHeight="1" x14ac:dyDescent="0.25">
      <c r="A15" s="31" t="s">
        <v>99</v>
      </c>
      <c r="B15" s="31">
        <v>2100</v>
      </c>
      <c r="C15" s="32">
        <f t="shared" ref="C15:D15" si="1">SUM(C16:C20)</f>
        <v>3022.6</v>
      </c>
      <c r="D15" s="32">
        <f t="shared" si="1"/>
        <v>3213</v>
      </c>
      <c r="E15" s="32">
        <f>SUM(F15:I15)</f>
        <v>3087.576</v>
      </c>
      <c r="F15" s="63">
        <f t="shared" ref="F15:I15" si="2">SUM(F16:F20)</f>
        <v>753.89400000000001</v>
      </c>
      <c r="G15" s="63">
        <f t="shared" si="2"/>
        <v>789.89400000000001</v>
      </c>
      <c r="H15" s="63">
        <f>SUM(H16:H20)</f>
        <v>789.89400000000001</v>
      </c>
      <c r="I15" s="63">
        <f t="shared" si="2"/>
        <v>753.89400000000001</v>
      </c>
      <c r="J15" s="46"/>
    </row>
    <row r="16" spans="1:10" ht="18.600000000000001" customHeight="1" x14ac:dyDescent="0.25">
      <c r="A16" s="30" t="s">
        <v>100</v>
      </c>
      <c r="B16" s="30">
        <v>2101</v>
      </c>
      <c r="C16" s="33">
        <v>3022.6</v>
      </c>
      <c r="D16" s="33">
        <f>'Таблиця 1'!D97*18%</f>
        <v>3213</v>
      </c>
      <c r="E16" s="33">
        <f>SUM(F16:I16)</f>
        <v>3087.576</v>
      </c>
      <c r="F16" s="33">
        <f>'Таблиця 1'!F97*18%</f>
        <v>753.89400000000001</v>
      </c>
      <c r="G16" s="33">
        <f>'Таблиця 1'!G97*18%</f>
        <v>789.89400000000001</v>
      </c>
      <c r="H16" s="33">
        <f>'Таблиця 1'!H97*18%</f>
        <v>789.89400000000001</v>
      </c>
      <c r="I16" s="33">
        <f>'Таблиця 1'!I97*18%</f>
        <v>753.89400000000001</v>
      </c>
      <c r="J16" s="46"/>
    </row>
    <row r="17" spans="1:10" ht="17.45" customHeight="1" x14ac:dyDescent="0.25">
      <c r="A17" s="30" t="s">
        <v>101</v>
      </c>
      <c r="B17" s="30">
        <v>2102</v>
      </c>
      <c r="C17" s="33"/>
      <c r="D17" s="33"/>
      <c r="E17" s="33"/>
      <c r="F17" s="33"/>
      <c r="G17" s="33"/>
      <c r="H17" s="81"/>
      <c r="I17" s="81"/>
      <c r="J17" s="46"/>
    </row>
    <row r="18" spans="1:10" ht="15" customHeight="1" x14ac:dyDescent="0.25">
      <c r="A18" s="30" t="s">
        <v>102</v>
      </c>
      <c r="B18" s="30">
        <v>2103</v>
      </c>
      <c r="C18" s="33"/>
      <c r="D18" s="33"/>
      <c r="E18" s="33"/>
      <c r="F18" s="33"/>
      <c r="G18" s="33"/>
      <c r="H18" s="81"/>
      <c r="I18" s="81"/>
      <c r="J18" s="46"/>
    </row>
    <row r="19" spans="1:10" ht="15" customHeight="1" x14ac:dyDescent="0.25">
      <c r="A19" s="30" t="s">
        <v>103</v>
      </c>
      <c r="B19" s="30">
        <v>2104</v>
      </c>
      <c r="C19" s="33"/>
      <c r="D19" s="33"/>
      <c r="E19" s="33"/>
      <c r="F19" s="33"/>
      <c r="G19" s="33"/>
      <c r="H19" s="81"/>
      <c r="I19" s="81"/>
      <c r="J19" s="46"/>
    </row>
    <row r="20" spans="1:10" ht="20.45" customHeight="1" x14ac:dyDescent="0.25">
      <c r="A20" s="30" t="s">
        <v>104</v>
      </c>
      <c r="B20" s="30">
        <v>2105</v>
      </c>
      <c r="C20" s="33"/>
      <c r="D20" s="33"/>
      <c r="E20" s="33"/>
      <c r="F20" s="33"/>
      <c r="G20" s="33"/>
      <c r="H20" s="81"/>
      <c r="I20" s="81"/>
      <c r="J20" s="46"/>
    </row>
    <row r="21" spans="1:10" ht="35.450000000000003" customHeight="1" x14ac:dyDescent="0.25">
      <c r="A21" s="31" t="s">
        <v>105</v>
      </c>
      <c r="B21" s="31">
        <v>2200</v>
      </c>
      <c r="C21" s="32">
        <f t="shared" ref="C21:D21" si="3">SUM(C22:C25)</f>
        <v>3837.5</v>
      </c>
      <c r="D21" s="32">
        <f t="shared" si="3"/>
        <v>4113.75</v>
      </c>
      <c r="E21" s="63">
        <f>SUM(E22:E25)</f>
        <v>3254.402</v>
      </c>
      <c r="F21" s="63">
        <f>SUM(F22:F25)</f>
        <v>804.95050000000015</v>
      </c>
      <c r="G21" s="63">
        <f t="shared" ref="G21:I21" si="4">SUM(G22:G25)</f>
        <v>811.2505000000001</v>
      </c>
      <c r="H21" s="63">
        <f t="shared" si="4"/>
        <v>833.2505000000001</v>
      </c>
      <c r="I21" s="63">
        <f t="shared" si="4"/>
        <v>804.95050000000015</v>
      </c>
      <c r="J21" s="46"/>
    </row>
    <row r="22" spans="1:10" ht="20.45" customHeight="1" x14ac:dyDescent="0.25">
      <c r="A22" s="30" t="s">
        <v>106</v>
      </c>
      <c r="B22" s="30">
        <v>2201</v>
      </c>
      <c r="C22" s="33"/>
      <c r="D22" s="33"/>
      <c r="E22" s="33"/>
      <c r="F22" s="33"/>
      <c r="G22" s="33"/>
      <c r="H22" s="81"/>
      <c r="I22" s="81"/>
      <c r="J22" s="46"/>
    </row>
    <row r="23" spans="1:10" ht="34.9" customHeight="1" x14ac:dyDescent="0.25">
      <c r="A23" s="30" t="s">
        <v>107</v>
      </c>
      <c r="B23" s="30">
        <v>2202</v>
      </c>
      <c r="C23" s="33">
        <f>'Таблиця 1'!C98</f>
        <v>3519.6</v>
      </c>
      <c r="D23" s="33">
        <f>'Таблиця 1'!D98</f>
        <v>3846</v>
      </c>
      <c r="E23" s="33">
        <f>SUM(F23:I23)</f>
        <v>2997.1040000000003</v>
      </c>
      <c r="F23" s="33">
        <f>'Таблиця 1'!F98</f>
        <v>742.12600000000009</v>
      </c>
      <c r="G23" s="33">
        <f>'Таблиця 1'!G98</f>
        <v>745.42600000000004</v>
      </c>
      <c r="H23" s="33">
        <f>'Таблиця 1'!H98</f>
        <v>767.42600000000004</v>
      </c>
      <c r="I23" s="33">
        <f>'Таблиця 1'!I98</f>
        <v>742.12600000000009</v>
      </c>
      <c r="J23" s="46"/>
    </row>
    <row r="24" spans="1:10" ht="25.9" customHeight="1" x14ac:dyDescent="0.25">
      <c r="A24" s="30" t="s">
        <v>108</v>
      </c>
      <c r="B24" s="30">
        <v>2203</v>
      </c>
      <c r="C24" s="33"/>
      <c r="D24" s="33"/>
      <c r="E24" s="33"/>
      <c r="F24" s="33"/>
      <c r="G24" s="33"/>
      <c r="H24" s="81"/>
      <c r="I24" s="81"/>
      <c r="J24" s="46"/>
    </row>
    <row r="25" spans="1:10" ht="24" customHeight="1" x14ac:dyDescent="0.25">
      <c r="A25" s="30" t="s">
        <v>109</v>
      </c>
      <c r="B25" s="30">
        <v>2204</v>
      </c>
      <c r="C25" s="33">
        <v>317.89999999999998</v>
      </c>
      <c r="D25" s="33">
        <f>'Таблиця 1'!D97*1.5%</f>
        <v>267.75</v>
      </c>
      <c r="E25" s="33">
        <f>SUM(F25:I25)</f>
        <v>257.298</v>
      </c>
      <c r="F25" s="33">
        <f>'Таблиця 1'!F97*1.5%</f>
        <v>62.8245</v>
      </c>
      <c r="G25" s="33">
        <f>'Таблиця 1'!G97*1.5%</f>
        <v>65.8245</v>
      </c>
      <c r="H25" s="33">
        <f>'Таблиця 1'!H97*1.5%</f>
        <v>65.8245</v>
      </c>
      <c r="I25" s="33">
        <f>'Таблиця 1'!I97*1.5%</f>
        <v>62.8245</v>
      </c>
      <c r="J25" s="46"/>
    </row>
    <row r="26" spans="1:10" s="62" customFormat="1" ht="31.9" customHeight="1" x14ac:dyDescent="0.25">
      <c r="A26" s="31" t="s">
        <v>110</v>
      </c>
      <c r="B26" s="31">
        <v>2300</v>
      </c>
      <c r="C26" s="63">
        <f t="shared" ref="C26:H26" si="5">SUM(C27:C28)</f>
        <v>0</v>
      </c>
      <c r="D26" s="63">
        <f t="shared" si="5"/>
        <v>0</v>
      </c>
      <c r="E26" s="63">
        <f>SUM(F26:I26)</f>
        <v>0</v>
      </c>
      <c r="F26" s="63">
        <f t="shared" si="5"/>
        <v>0</v>
      </c>
      <c r="G26" s="63">
        <f t="shared" si="5"/>
        <v>0</v>
      </c>
      <c r="H26" s="63">
        <f t="shared" si="5"/>
        <v>0</v>
      </c>
      <c r="I26" s="63">
        <f>SUM(I27:I28)</f>
        <v>0</v>
      </c>
      <c r="J26" s="61"/>
    </row>
    <row r="27" spans="1:10" ht="52.9" customHeight="1" x14ac:dyDescent="0.25">
      <c r="A27" s="30" t="s">
        <v>111</v>
      </c>
      <c r="B27" s="30">
        <v>2301</v>
      </c>
      <c r="C27" s="33"/>
      <c r="D27" s="33"/>
      <c r="E27" s="33"/>
      <c r="F27" s="33"/>
      <c r="G27" s="33"/>
      <c r="H27" s="81"/>
      <c r="I27" s="81"/>
      <c r="J27" s="46"/>
    </row>
    <row r="28" spans="1:10" ht="24.6" customHeight="1" x14ac:dyDescent="0.25">
      <c r="A28" s="30" t="s">
        <v>112</v>
      </c>
      <c r="B28" s="30">
        <v>2302</v>
      </c>
      <c r="C28" s="33"/>
      <c r="D28" s="33"/>
      <c r="E28" s="33"/>
      <c r="F28" s="33"/>
      <c r="G28" s="33"/>
      <c r="H28" s="81"/>
      <c r="I28" s="81"/>
      <c r="J28" s="46"/>
    </row>
    <row r="29" spans="1:10" ht="12.6" customHeight="1" x14ac:dyDescent="0.25">
      <c r="A29" s="34"/>
      <c r="B29" s="34"/>
      <c r="C29" s="34"/>
      <c r="D29" s="34"/>
      <c r="E29" s="82"/>
      <c r="F29" s="82"/>
      <c r="G29" s="46"/>
    </row>
    <row r="30" spans="1:10" ht="16.149999999999999" customHeight="1" thickBot="1" x14ac:dyDescent="0.3">
      <c r="A30" s="13" t="s">
        <v>176</v>
      </c>
      <c r="B30" s="35"/>
      <c r="C30" s="35"/>
      <c r="D30" s="35"/>
      <c r="E30" s="112"/>
      <c r="F30" s="112"/>
      <c r="G30" s="112" t="s">
        <v>162</v>
      </c>
      <c r="H30" s="112"/>
      <c r="I30" s="112"/>
    </row>
    <row r="31" spans="1:10" ht="14.45" customHeight="1" x14ac:dyDescent="0.25">
      <c r="A31" s="36" t="s">
        <v>86</v>
      </c>
      <c r="B31" s="37" t="s">
        <v>87</v>
      </c>
      <c r="C31" s="83"/>
      <c r="D31" s="37"/>
      <c r="E31" s="114"/>
      <c r="F31" s="114"/>
      <c r="G31" s="114" t="s">
        <v>88</v>
      </c>
      <c r="H31" s="114"/>
      <c r="I31" s="114"/>
    </row>
  </sheetData>
  <mergeCells count="12">
    <mergeCell ref="H1:I1"/>
    <mergeCell ref="G30:I30"/>
    <mergeCell ref="A2:I2"/>
    <mergeCell ref="G31:I31"/>
    <mergeCell ref="E31:F31"/>
    <mergeCell ref="B4:B5"/>
    <mergeCell ref="A4:A5"/>
    <mergeCell ref="E30:F30"/>
    <mergeCell ref="F4:I4"/>
    <mergeCell ref="C4:C5"/>
    <mergeCell ref="D4:D5"/>
    <mergeCell ref="E4:E5"/>
  </mergeCells>
  <pageMargins left="0.31496062992125984" right="0.31496062992125984" top="0.35433070866141736" bottom="0.15748031496062992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8"/>
  <sheetViews>
    <sheetView view="pageBreakPreview" zoomScaleNormal="100" zoomScaleSheetLayoutView="100" workbookViewId="0">
      <selection activeCell="C12" sqref="C12"/>
    </sheetView>
  </sheetViews>
  <sheetFormatPr defaultColWidth="8.85546875" defaultRowHeight="15.75" x14ac:dyDescent="0.25"/>
  <cols>
    <col min="1" max="1" width="47.28515625" style="29" customWidth="1"/>
    <col min="2" max="2" width="9.140625" style="29" bestFit="1" customWidth="1"/>
    <col min="3" max="3" width="11.7109375" style="29" customWidth="1"/>
    <col min="4" max="4" width="12.7109375" style="29" customWidth="1"/>
    <col min="5" max="5" width="13.7109375" style="29" customWidth="1"/>
    <col min="6" max="6" width="12" style="29" customWidth="1"/>
    <col min="7" max="8" width="9.140625" style="29" bestFit="1" customWidth="1"/>
    <col min="9" max="9" width="11.5703125" style="29" bestFit="1" customWidth="1"/>
    <col min="10" max="16384" width="8.85546875" style="29"/>
  </cols>
  <sheetData>
    <row r="1" spans="1:9" x14ac:dyDescent="0.25">
      <c r="A1" s="28"/>
      <c r="F1" s="28"/>
      <c r="H1" s="111" t="s">
        <v>187</v>
      </c>
      <c r="I1" s="111"/>
    </row>
    <row r="2" spans="1:9" x14ac:dyDescent="0.25">
      <c r="A2" s="113" t="s">
        <v>113</v>
      </c>
      <c r="B2" s="113"/>
      <c r="C2" s="113"/>
      <c r="D2" s="113"/>
      <c r="E2" s="113"/>
      <c r="F2" s="113"/>
      <c r="G2" s="113"/>
      <c r="H2" s="113"/>
      <c r="I2" s="113"/>
    </row>
    <row r="4" spans="1:9" ht="15" customHeight="1" x14ac:dyDescent="0.25">
      <c r="A4" s="115" t="s">
        <v>15</v>
      </c>
      <c r="B4" s="115" t="s">
        <v>89</v>
      </c>
      <c r="C4" s="107" t="s">
        <v>185</v>
      </c>
      <c r="D4" s="107" t="s">
        <v>184</v>
      </c>
      <c r="E4" s="107" t="s">
        <v>186</v>
      </c>
      <c r="F4" s="107" t="s">
        <v>178</v>
      </c>
      <c r="G4" s="107"/>
      <c r="H4" s="107"/>
      <c r="I4" s="107"/>
    </row>
    <row r="5" spans="1:9" ht="48" customHeight="1" x14ac:dyDescent="0.25">
      <c r="A5" s="115"/>
      <c r="B5" s="115"/>
      <c r="C5" s="107"/>
      <c r="D5" s="107"/>
      <c r="E5" s="107"/>
      <c r="F5" s="39" t="s">
        <v>179</v>
      </c>
      <c r="G5" s="39" t="s">
        <v>180</v>
      </c>
      <c r="H5" s="39" t="s">
        <v>181</v>
      </c>
      <c r="I5" s="39" t="s">
        <v>182</v>
      </c>
    </row>
    <row r="6" spans="1:9" x14ac:dyDescent="0.25">
      <c r="A6" s="71">
        <v>1</v>
      </c>
      <c r="B6" s="71">
        <v>2</v>
      </c>
      <c r="C6" s="79">
        <v>3</v>
      </c>
      <c r="D6" s="71">
        <v>4</v>
      </c>
      <c r="E6" s="71">
        <v>5</v>
      </c>
      <c r="F6" s="71">
        <v>6</v>
      </c>
      <c r="G6" s="71">
        <v>7</v>
      </c>
      <c r="H6" s="71">
        <v>8</v>
      </c>
      <c r="I6" s="71">
        <v>9</v>
      </c>
    </row>
    <row r="7" spans="1:9" ht="15" customHeight="1" x14ac:dyDescent="0.25">
      <c r="A7" s="119" t="s">
        <v>114</v>
      </c>
      <c r="B7" s="119"/>
      <c r="C7" s="119"/>
      <c r="D7" s="119"/>
      <c r="E7" s="119"/>
      <c r="F7" s="119"/>
      <c r="G7" s="119"/>
      <c r="H7" s="119"/>
      <c r="I7" s="119"/>
    </row>
    <row r="8" spans="1:9" ht="34.15" customHeight="1" x14ac:dyDescent="0.25">
      <c r="A8" s="38" t="s">
        <v>115</v>
      </c>
      <c r="B8" s="69">
        <v>3000</v>
      </c>
      <c r="C8" s="42">
        <f t="shared" ref="C8:D8" si="0">SUM(C9:C13)</f>
        <v>26819.9</v>
      </c>
      <c r="D8" s="42">
        <f t="shared" si="0"/>
        <v>27299</v>
      </c>
      <c r="E8" s="64">
        <f>SUM(F8:I8)</f>
        <v>25446.6</v>
      </c>
      <c r="F8" s="64">
        <f>SUM(F9:F13)</f>
        <v>6175.9000000000005</v>
      </c>
      <c r="G8" s="64">
        <f t="shared" ref="G8" si="1">SUM(G9:G13)</f>
        <v>6174.9</v>
      </c>
      <c r="H8" s="64">
        <f>SUM(H9:H13)</f>
        <v>6758.4</v>
      </c>
      <c r="I8" s="64">
        <f>SUM(I9:I13)</f>
        <v>6337.4</v>
      </c>
    </row>
    <row r="9" spans="1:9" ht="42" customHeight="1" x14ac:dyDescent="0.25">
      <c r="A9" s="40" t="s">
        <v>116</v>
      </c>
      <c r="B9" s="39">
        <v>3001</v>
      </c>
      <c r="C9" s="42">
        <v>207.6</v>
      </c>
      <c r="D9" s="42">
        <v>185.9</v>
      </c>
      <c r="E9" s="42">
        <f t="shared" ref="E9:E13" si="2">SUM(F9:I9)</f>
        <v>185.9</v>
      </c>
      <c r="F9" s="42">
        <v>32.4</v>
      </c>
      <c r="G9" s="42">
        <v>41</v>
      </c>
      <c r="H9" s="42">
        <v>51</v>
      </c>
      <c r="I9" s="42">
        <v>61.5</v>
      </c>
    </row>
    <row r="10" spans="1:9" ht="23.45" customHeight="1" x14ac:dyDescent="0.25">
      <c r="A10" s="41" t="s">
        <v>18</v>
      </c>
      <c r="B10" s="39">
        <v>3002</v>
      </c>
      <c r="C10" s="42">
        <f>'Таблиця 1'!C26</f>
        <v>4853.6000000000004</v>
      </c>
      <c r="D10" s="42">
        <f>'Таблиця 1'!D26</f>
        <v>5000</v>
      </c>
      <c r="E10" s="42">
        <f t="shared" si="2"/>
        <v>6822.6</v>
      </c>
      <c r="F10" s="42">
        <f>'Таблиця 1'!F26</f>
        <v>1610.9</v>
      </c>
      <c r="G10" s="42">
        <f>'Таблиця 1'!G26</f>
        <v>1609.9</v>
      </c>
      <c r="H10" s="42">
        <f>'Таблиця 1'!H26</f>
        <v>1974.4</v>
      </c>
      <c r="I10" s="42">
        <f>'Таблиця 1'!I26</f>
        <v>1627.4</v>
      </c>
    </row>
    <row r="11" spans="1:9" ht="26.45" customHeight="1" x14ac:dyDescent="0.25">
      <c r="A11" s="41" t="s">
        <v>19</v>
      </c>
      <c r="B11" s="39">
        <v>3003</v>
      </c>
      <c r="C11" s="42"/>
      <c r="D11" s="42"/>
      <c r="E11" s="42"/>
      <c r="F11" s="42"/>
      <c r="G11" s="42"/>
      <c r="H11" s="42"/>
      <c r="I11" s="42"/>
    </row>
    <row r="12" spans="1:9" x14ac:dyDescent="0.25">
      <c r="A12" s="41" t="s">
        <v>20</v>
      </c>
      <c r="B12" s="39">
        <v>3004</v>
      </c>
      <c r="C12" s="42">
        <f>'Таблиця 1'!C28</f>
        <v>19733</v>
      </c>
      <c r="D12" s="42">
        <f>'Таблиця 1'!D28</f>
        <v>22040</v>
      </c>
      <c r="E12" s="42">
        <f t="shared" si="2"/>
        <v>18300</v>
      </c>
      <c r="F12" s="42">
        <f>'Таблиця 1'!F28</f>
        <v>4500</v>
      </c>
      <c r="G12" s="42">
        <f>'Таблиця 1'!G28</f>
        <v>4500</v>
      </c>
      <c r="H12" s="42">
        <f>'Таблиця 1'!H28</f>
        <v>4650</v>
      </c>
      <c r="I12" s="42">
        <f>'Таблиця 1'!I28</f>
        <v>4650</v>
      </c>
    </row>
    <row r="13" spans="1:9" x14ac:dyDescent="0.25">
      <c r="A13" s="41" t="s">
        <v>21</v>
      </c>
      <c r="B13" s="39">
        <v>3005</v>
      </c>
      <c r="C13" s="42">
        <f>'Таблиця 1'!C29-C9</f>
        <v>2025.7000000000003</v>
      </c>
      <c r="D13" s="42">
        <f>'Таблиця 1'!D29-D9</f>
        <v>73.099999999999994</v>
      </c>
      <c r="E13" s="42">
        <f t="shared" si="2"/>
        <v>138.1</v>
      </c>
      <c r="F13" s="42">
        <f>'Таблиця 1'!F29-'Таблиця 3'!F9</f>
        <v>32.6</v>
      </c>
      <c r="G13" s="42">
        <f>'Таблиця 1'!G29-'Таблиця 3'!G9</f>
        <v>24</v>
      </c>
      <c r="H13" s="42">
        <f>'Таблиця 1'!H29-'Таблиця 3'!H9</f>
        <v>83</v>
      </c>
      <c r="I13" s="42">
        <f>'Таблиця 1'!I29-'Таблиця 3'!I9</f>
        <v>-1.5</v>
      </c>
    </row>
    <row r="14" spans="1:9" ht="24" customHeight="1" x14ac:dyDescent="0.25">
      <c r="A14" s="40" t="s">
        <v>117</v>
      </c>
      <c r="B14" s="39">
        <v>3100</v>
      </c>
      <c r="C14" s="42"/>
      <c r="D14" s="42"/>
      <c r="E14" s="42"/>
      <c r="F14" s="42"/>
      <c r="G14" s="42"/>
      <c r="H14" s="42"/>
      <c r="I14" s="42"/>
    </row>
    <row r="15" spans="1:9" ht="20.45" customHeight="1" x14ac:dyDescent="0.25">
      <c r="A15" s="40" t="s">
        <v>118</v>
      </c>
      <c r="B15" s="39">
        <v>3101</v>
      </c>
      <c r="C15" s="42"/>
      <c r="D15" s="42"/>
      <c r="E15" s="42"/>
      <c r="F15" s="42"/>
      <c r="G15" s="42"/>
      <c r="H15" s="42"/>
      <c r="I15" s="42"/>
    </row>
    <row r="16" spans="1:9" ht="18.600000000000001" customHeight="1" x14ac:dyDescent="0.25">
      <c r="A16" s="40" t="s">
        <v>119</v>
      </c>
      <c r="B16" s="39">
        <v>3200</v>
      </c>
      <c r="C16" s="42"/>
      <c r="D16" s="42"/>
      <c r="E16" s="42"/>
      <c r="F16" s="42"/>
      <c r="G16" s="42"/>
      <c r="H16" s="42"/>
      <c r="I16" s="42"/>
    </row>
    <row r="17" spans="1:11" ht="22.9" customHeight="1" x14ac:dyDescent="0.25">
      <c r="A17" s="40" t="s">
        <v>120</v>
      </c>
      <c r="B17" s="39">
        <v>3300</v>
      </c>
      <c r="C17" s="42"/>
      <c r="D17" s="42"/>
      <c r="E17" s="42"/>
      <c r="F17" s="42"/>
      <c r="G17" s="42"/>
      <c r="H17" s="42"/>
      <c r="I17" s="42"/>
    </row>
    <row r="18" spans="1:11" ht="29.45" customHeight="1" x14ac:dyDescent="0.25">
      <c r="A18" s="40" t="s">
        <v>121</v>
      </c>
      <c r="B18" s="39">
        <v>3400</v>
      </c>
      <c r="C18" s="42"/>
      <c r="D18" s="42"/>
      <c r="E18" s="42"/>
      <c r="F18" s="42"/>
      <c r="G18" s="42"/>
      <c r="H18" s="42"/>
      <c r="I18" s="42"/>
    </row>
    <row r="19" spans="1:11" ht="24" customHeight="1" x14ac:dyDescent="0.25">
      <c r="A19" s="40" t="s">
        <v>122</v>
      </c>
      <c r="B19" s="39">
        <v>3500</v>
      </c>
      <c r="C19" s="42"/>
      <c r="D19" s="42"/>
      <c r="E19" s="42"/>
      <c r="F19" s="42"/>
      <c r="G19" s="42"/>
      <c r="H19" s="42"/>
      <c r="I19" s="42"/>
    </row>
    <row r="20" spans="1:11" ht="30.6" customHeight="1" x14ac:dyDescent="0.25">
      <c r="A20" s="40" t="s">
        <v>123</v>
      </c>
      <c r="B20" s="39">
        <v>3600</v>
      </c>
      <c r="C20" s="42"/>
      <c r="D20" s="42"/>
      <c r="E20" s="42"/>
      <c r="F20" s="42"/>
      <c r="G20" s="42"/>
      <c r="H20" s="42"/>
      <c r="I20" s="42"/>
    </row>
    <row r="21" spans="1:11" ht="30.6" customHeight="1" x14ac:dyDescent="0.25">
      <c r="A21" s="38" t="s">
        <v>124</v>
      </c>
      <c r="B21" s="39">
        <v>3700</v>
      </c>
      <c r="C21" s="64">
        <f>'Таблиця 1'!C91</f>
        <v>26242.999999999996</v>
      </c>
      <c r="D21" s="64">
        <f>'Таблиця 1'!D91</f>
        <v>27271</v>
      </c>
      <c r="E21" s="64">
        <f>'Таблиця 1'!E91</f>
        <v>25331.503999999997</v>
      </c>
      <c r="F21" s="64">
        <f>'Таблиця 1'!F91</f>
        <v>6166.826</v>
      </c>
      <c r="G21" s="64">
        <f>'Таблиця 1'!G91</f>
        <v>6173.7260000000006</v>
      </c>
      <c r="H21" s="64">
        <f>'Таблиця 1'!H91</f>
        <v>6758.1260000000002</v>
      </c>
      <c r="I21" s="64">
        <f>'Таблиця 1'!I91</f>
        <v>6237.826</v>
      </c>
    </row>
    <row r="22" spans="1:11" ht="36" customHeight="1" x14ac:dyDescent="0.25">
      <c r="A22" s="40" t="s">
        <v>125</v>
      </c>
      <c r="B22" s="39">
        <v>3701</v>
      </c>
      <c r="C22" s="42"/>
      <c r="D22" s="42"/>
      <c r="E22" s="42"/>
      <c r="F22" s="42"/>
      <c r="G22" s="42"/>
      <c r="H22" s="42"/>
      <c r="I22" s="42"/>
    </row>
    <row r="23" spans="1:11" ht="24" customHeight="1" x14ac:dyDescent="0.25">
      <c r="A23" s="40" t="s">
        <v>126</v>
      </c>
      <c r="B23" s="39">
        <v>3702</v>
      </c>
      <c r="C23" s="42">
        <f>'Таблиця 1'!C97</f>
        <v>16713.8</v>
      </c>
      <c r="D23" s="42">
        <f>'Таблиця 1'!D97</f>
        <v>17850</v>
      </c>
      <c r="E23" s="42">
        <f>'Таблиця 1'!E97</f>
        <v>17153.2</v>
      </c>
      <c r="F23" s="42">
        <f>'Таблиця 1'!F97</f>
        <v>4188.3</v>
      </c>
      <c r="G23" s="42">
        <f>'Таблиця 1'!G97</f>
        <v>4388.3</v>
      </c>
      <c r="H23" s="42">
        <f>'Таблиця 1'!H97</f>
        <v>4388.3</v>
      </c>
      <c r="I23" s="42">
        <f>'Таблиця 1'!I97</f>
        <v>4188.3</v>
      </c>
    </row>
    <row r="24" spans="1:11" ht="38.450000000000003" customHeight="1" x14ac:dyDescent="0.25">
      <c r="A24" s="40" t="s">
        <v>127</v>
      </c>
      <c r="B24" s="39">
        <v>3703</v>
      </c>
      <c r="C24" s="42"/>
      <c r="D24" s="42"/>
      <c r="E24" s="42"/>
      <c r="F24" s="42"/>
      <c r="G24" s="42"/>
      <c r="H24" s="42"/>
      <c r="I24" s="42"/>
    </row>
    <row r="25" spans="1:11" ht="48" customHeight="1" x14ac:dyDescent="0.25">
      <c r="A25" s="40" t="s">
        <v>128</v>
      </c>
      <c r="B25" s="39">
        <v>3800</v>
      </c>
      <c r="C25" s="42">
        <f>C26+'Таблиця 2'!C23+'Таблиця 2'!C25</f>
        <v>6860.0999999999995</v>
      </c>
      <c r="D25" s="42">
        <f>D26+'Таблиця 2'!D23+'Таблиця 2'!D25</f>
        <v>7326.75</v>
      </c>
      <c r="E25" s="42">
        <f>SUM(F25:I25)</f>
        <v>6341.9780000000001</v>
      </c>
      <c r="F25" s="42">
        <f>F26+'Таблиця 2'!F23+'Таблиця 2'!F25</f>
        <v>1558.8444999999999</v>
      </c>
      <c r="G25" s="42">
        <f>G26+'Таблиця 2'!G23+'Таблиця 2'!G25</f>
        <v>1601.1445000000001</v>
      </c>
      <c r="H25" s="42">
        <f>H26+'Таблиця 2'!H23+'Таблиця 2'!H25</f>
        <v>1623.1445000000001</v>
      </c>
      <c r="I25" s="42">
        <f>I26+'Таблиця 2'!I23+'Таблиця 2'!I25</f>
        <v>1558.8444999999999</v>
      </c>
    </row>
    <row r="26" spans="1:11" ht="24" customHeight="1" x14ac:dyDescent="0.25">
      <c r="A26" s="40" t="s">
        <v>194</v>
      </c>
      <c r="B26" s="39">
        <v>3801</v>
      </c>
      <c r="C26" s="42">
        <f>'Таблиця 2'!C16</f>
        <v>3022.6</v>
      </c>
      <c r="D26" s="42">
        <f>'Таблиця 2'!D16</f>
        <v>3213</v>
      </c>
      <c r="E26" s="42">
        <f>SUM(F26:I26)</f>
        <v>3087.576</v>
      </c>
      <c r="F26" s="42">
        <f>'Таблиця 2'!F16</f>
        <v>753.89400000000001</v>
      </c>
      <c r="G26" s="42">
        <f>'Таблиця 2'!G16</f>
        <v>789.89400000000001</v>
      </c>
      <c r="H26" s="42">
        <f>'Таблиця 2'!H16</f>
        <v>789.89400000000001</v>
      </c>
      <c r="I26" s="42">
        <f>'Таблиця 2'!I16</f>
        <v>753.89400000000001</v>
      </c>
    </row>
    <row r="27" spans="1:11" ht="23.45" customHeight="1" x14ac:dyDescent="0.25">
      <c r="A27" s="40" t="s">
        <v>129</v>
      </c>
      <c r="B27" s="39">
        <v>3900</v>
      </c>
      <c r="C27" s="42"/>
      <c r="D27" s="42"/>
      <c r="E27" s="42"/>
      <c r="F27" s="42"/>
      <c r="G27" s="42"/>
      <c r="H27" s="42"/>
      <c r="I27" s="42"/>
    </row>
    <row r="28" spans="1:11" ht="21" customHeight="1" x14ac:dyDescent="0.25">
      <c r="A28" s="40" t="s">
        <v>130</v>
      </c>
      <c r="B28" s="39">
        <v>4000</v>
      </c>
      <c r="C28" s="42"/>
      <c r="D28" s="42"/>
      <c r="E28" s="42"/>
      <c r="F28" s="42"/>
      <c r="G28" s="42"/>
      <c r="H28" s="42"/>
      <c r="I28" s="42"/>
    </row>
    <row r="29" spans="1:11" ht="22.9" customHeight="1" x14ac:dyDescent="0.25">
      <c r="A29" s="40" t="s">
        <v>30</v>
      </c>
      <c r="B29" s="39">
        <v>5000</v>
      </c>
      <c r="C29" s="42"/>
      <c r="D29" s="42"/>
      <c r="E29" s="42"/>
      <c r="F29" s="42"/>
      <c r="G29" s="42"/>
      <c r="H29" s="42"/>
      <c r="I29" s="42"/>
    </row>
    <row r="30" spans="1:11" ht="33" customHeight="1" x14ac:dyDescent="0.25">
      <c r="A30" s="38" t="s">
        <v>131</v>
      </c>
      <c r="B30" s="39">
        <v>6000</v>
      </c>
      <c r="C30" s="42">
        <f>'Таблиця 1'!C92</f>
        <v>576.90000000000146</v>
      </c>
      <c r="D30" s="42">
        <f>'Таблиця 1'!D92</f>
        <v>28</v>
      </c>
      <c r="E30" s="42">
        <f>'Таблиця 1'!E92</f>
        <v>115.09600000000137</v>
      </c>
      <c r="F30" s="42">
        <f>'Таблиця 1'!F92</f>
        <v>9.0739999999996144</v>
      </c>
      <c r="G30" s="42">
        <f>'Таблиця 1'!G92</f>
        <v>1.1739999999990687</v>
      </c>
      <c r="H30" s="42">
        <f>'Таблиця 1'!H92</f>
        <v>0.27399999999943248</v>
      </c>
      <c r="I30" s="42">
        <f>'Таблиця 1'!I92</f>
        <v>99.573999999999614</v>
      </c>
      <c r="K30" s="70" t="s">
        <v>200</v>
      </c>
    </row>
    <row r="31" spans="1:11" ht="15" customHeight="1" x14ac:dyDescent="0.25">
      <c r="A31" s="119" t="s">
        <v>132</v>
      </c>
      <c r="B31" s="119"/>
      <c r="C31" s="119"/>
      <c r="D31" s="119"/>
      <c r="E31" s="119"/>
      <c r="F31" s="119"/>
      <c r="G31" s="119"/>
      <c r="H31" s="119"/>
      <c r="I31" s="119"/>
    </row>
    <row r="32" spans="1:11" ht="38.450000000000003" customHeight="1" x14ac:dyDescent="0.25">
      <c r="A32" s="38" t="s">
        <v>133</v>
      </c>
      <c r="B32" s="39">
        <v>7000</v>
      </c>
      <c r="C32" s="42"/>
      <c r="D32" s="42"/>
      <c r="E32" s="42"/>
      <c r="F32" s="43"/>
      <c r="G32" s="43"/>
      <c r="H32" s="43"/>
      <c r="I32" s="43"/>
    </row>
    <row r="33" spans="1:9" ht="32.450000000000003" customHeight="1" x14ac:dyDescent="0.25">
      <c r="A33" s="40" t="s">
        <v>134</v>
      </c>
      <c r="B33" s="39">
        <v>7001</v>
      </c>
      <c r="C33" s="42"/>
      <c r="D33" s="42"/>
      <c r="E33" s="42"/>
      <c r="F33" s="43"/>
      <c r="G33" s="43"/>
      <c r="H33" s="43"/>
      <c r="I33" s="43"/>
    </row>
    <row r="34" spans="1:9" ht="25.9" customHeight="1" x14ac:dyDescent="0.25">
      <c r="A34" s="40" t="s">
        <v>122</v>
      </c>
      <c r="B34" s="39">
        <v>7002</v>
      </c>
      <c r="C34" s="42"/>
      <c r="D34" s="42"/>
      <c r="E34" s="42"/>
      <c r="F34" s="43"/>
      <c r="G34" s="43"/>
      <c r="H34" s="43"/>
      <c r="I34" s="43"/>
    </row>
    <row r="35" spans="1:9" ht="39" customHeight="1" x14ac:dyDescent="0.25">
      <c r="A35" s="40" t="s">
        <v>135</v>
      </c>
      <c r="B35" s="39">
        <v>8000</v>
      </c>
      <c r="C35" s="42"/>
      <c r="D35" s="42"/>
      <c r="E35" s="42"/>
      <c r="F35" s="43"/>
      <c r="G35" s="43"/>
      <c r="H35" s="43"/>
      <c r="I35" s="43"/>
    </row>
    <row r="36" spans="1:9" ht="40.9" customHeight="1" x14ac:dyDescent="0.25">
      <c r="A36" s="40" t="s">
        <v>136</v>
      </c>
      <c r="B36" s="39">
        <v>8001</v>
      </c>
      <c r="C36" s="42"/>
      <c r="D36" s="42"/>
      <c r="E36" s="42"/>
      <c r="F36" s="43"/>
      <c r="G36" s="43"/>
      <c r="H36" s="43"/>
      <c r="I36" s="43"/>
    </row>
    <row r="37" spans="1:9" ht="36.6" customHeight="1" x14ac:dyDescent="0.25">
      <c r="A37" s="40" t="s">
        <v>137</v>
      </c>
      <c r="B37" s="39">
        <v>8002</v>
      </c>
      <c r="C37" s="42"/>
      <c r="D37" s="42"/>
      <c r="E37" s="42"/>
      <c r="F37" s="43"/>
      <c r="G37" s="43"/>
      <c r="H37" s="43"/>
      <c r="I37" s="43"/>
    </row>
    <row r="38" spans="1:9" ht="27" customHeight="1" x14ac:dyDescent="0.25">
      <c r="A38" s="40" t="s">
        <v>30</v>
      </c>
      <c r="B38" s="39">
        <v>8003</v>
      </c>
      <c r="C38" s="42"/>
      <c r="D38" s="42"/>
      <c r="E38" s="42"/>
      <c r="F38" s="43"/>
      <c r="G38" s="43"/>
      <c r="H38" s="43"/>
      <c r="I38" s="43"/>
    </row>
    <row r="39" spans="1:9" ht="40.9" customHeight="1" x14ac:dyDescent="0.25">
      <c r="A39" s="40" t="s">
        <v>138</v>
      </c>
      <c r="B39" s="39">
        <v>9000</v>
      </c>
      <c r="C39" s="42"/>
      <c r="D39" s="42"/>
      <c r="E39" s="42"/>
      <c r="F39" s="43"/>
      <c r="G39" s="43"/>
      <c r="H39" s="43"/>
      <c r="I39" s="43"/>
    </row>
    <row r="40" spans="1:9" x14ac:dyDescent="0.25">
      <c r="A40" s="40" t="s">
        <v>139</v>
      </c>
      <c r="B40" s="39">
        <v>9001</v>
      </c>
      <c r="C40" s="42"/>
      <c r="D40" s="42"/>
      <c r="E40" s="42"/>
      <c r="F40" s="43"/>
      <c r="G40" s="43"/>
      <c r="H40" s="43"/>
      <c r="I40" s="43"/>
    </row>
    <row r="41" spans="1:9" ht="33" customHeight="1" x14ac:dyDescent="0.25">
      <c r="A41" s="38" t="s">
        <v>140</v>
      </c>
      <c r="B41" s="39">
        <v>10000</v>
      </c>
      <c r="C41" s="42"/>
      <c r="D41" s="42"/>
      <c r="E41" s="42"/>
      <c r="F41" s="43"/>
      <c r="G41" s="43"/>
      <c r="H41" s="43"/>
      <c r="I41" s="43"/>
    </row>
    <row r="42" spans="1:9" ht="32.450000000000003" customHeight="1" x14ac:dyDescent="0.25">
      <c r="A42" s="38" t="s">
        <v>141</v>
      </c>
      <c r="B42" s="39">
        <v>10100</v>
      </c>
      <c r="C42" s="43">
        <f t="shared" ref="C42:D42" si="3">C8</f>
        <v>26819.9</v>
      </c>
      <c r="D42" s="43">
        <f t="shared" si="3"/>
        <v>27299</v>
      </c>
      <c r="E42" s="43">
        <f>SUM(F42:I42)</f>
        <v>25446.6</v>
      </c>
      <c r="F42" s="43">
        <f>F8</f>
        <v>6175.9000000000005</v>
      </c>
      <c r="G42" s="43">
        <f t="shared" ref="G42:I42" si="4">G8</f>
        <v>6174.9</v>
      </c>
      <c r="H42" s="43">
        <f t="shared" si="4"/>
        <v>6758.4</v>
      </c>
      <c r="I42" s="43">
        <f t="shared" si="4"/>
        <v>6337.4</v>
      </c>
    </row>
    <row r="43" spans="1:9" ht="30" customHeight="1" x14ac:dyDescent="0.25">
      <c r="A43" s="40" t="s">
        <v>142</v>
      </c>
      <c r="B43" s="39">
        <v>10200</v>
      </c>
      <c r="C43" s="92">
        <f>'Таблиця 2'!C8</f>
        <v>58.6</v>
      </c>
      <c r="D43" s="43">
        <f>'Таблиця 2'!D8</f>
        <v>248.1</v>
      </c>
      <c r="E43" s="43">
        <f>SUM(F43:I43)</f>
        <v>329.44399999999644</v>
      </c>
      <c r="F43" s="43">
        <f>'Таблиця 2'!F8</f>
        <v>74.900000000000006</v>
      </c>
      <c r="G43" s="43">
        <f>'Таблиця 2'!G8</f>
        <v>83.97399999999962</v>
      </c>
      <c r="H43" s="43">
        <f>'Таблиця 2'!H8</f>
        <v>85.147999999998689</v>
      </c>
      <c r="I43" s="43">
        <f>'Таблиця 2'!I8</f>
        <v>85.421999999998121</v>
      </c>
    </row>
    <row r="44" spans="1:9" ht="22.9" customHeight="1" x14ac:dyDescent="0.25">
      <c r="A44" s="40" t="s">
        <v>143</v>
      </c>
      <c r="B44" s="39">
        <v>10300</v>
      </c>
      <c r="C44" s="43">
        <f>C30</f>
        <v>576.90000000000146</v>
      </c>
      <c r="D44" s="43">
        <v>46.9</v>
      </c>
      <c r="E44" s="43">
        <f>SUM(F44:I44)</f>
        <v>439.53999999999417</v>
      </c>
      <c r="F44" s="43">
        <f>'Таблиця 2'!F14</f>
        <v>83.97399999999962</v>
      </c>
      <c r="G44" s="43">
        <f>'Таблиця 2'!G14</f>
        <v>85.147999999998689</v>
      </c>
      <c r="H44" s="43">
        <f>'Таблиця 2'!H14</f>
        <v>85.421999999998121</v>
      </c>
      <c r="I44" s="43">
        <f>'Таблиця 2'!I14</f>
        <v>184.99599999999774</v>
      </c>
    </row>
    <row r="47" spans="1:9" ht="15" customHeight="1" thickBot="1" x14ac:dyDescent="0.3">
      <c r="A47" s="13" t="s">
        <v>176</v>
      </c>
      <c r="B47" s="44"/>
      <c r="C47" s="44"/>
      <c r="D47" s="44"/>
      <c r="E47" s="118"/>
      <c r="F47" s="118"/>
      <c r="G47" s="117" t="s">
        <v>162</v>
      </c>
      <c r="H47" s="117"/>
      <c r="I47" s="117"/>
    </row>
    <row r="48" spans="1:9" ht="24" customHeight="1" x14ac:dyDescent="0.25">
      <c r="A48" s="45" t="s">
        <v>86</v>
      </c>
      <c r="B48" s="116" t="s">
        <v>87</v>
      </c>
      <c r="C48" s="116"/>
      <c r="D48" s="116"/>
      <c r="E48" s="116"/>
      <c r="F48" s="116"/>
      <c r="G48" s="116" t="s">
        <v>88</v>
      </c>
      <c r="H48" s="116"/>
      <c r="I48" s="116"/>
    </row>
  </sheetData>
  <mergeCells count="15">
    <mergeCell ref="G48:I48"/>
    <mergeCell ref="B48:C48"/>
    <mergeCell ref="F4:I4"/>
    <mergeCell ref="B4:B5"/>
    <mergeCell ref="H1:I1"/>
    <mergeCell ref="A2:I2"/>
    <mergeCell ref="G47:I47"/>
    <mergeCell ref="E47:F47"/>
    <mergeCell ref="D48:F48"/>
    <mergeCell ref="A4:A5"/>
    <mergeCell ref="A7:I7"/>
    <mergeCell ref="A31:I31"/>
    <mergeCell ref="C4:C5"/>
    <mergeCell ref="D4:D5"/>
    <mergeCell ref="E4:E5"/>
  </mergeCells>
  <pageMargins left="0.31496062992125984" right="0.31496062992125984" top="0.35433070866141736" bottom="0.35433070866141736" header="0.31496062992125984" footer="0.31496062992125984"/>
  <pageSetup paperSize="9" fitToHeight="0" orientation="landscape" r:id="rId1"/>
  <rowBreaks count="1" manualBreakCount="1">
    <brk id="22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6"/>
  <sheetViews>
    <sheetView workbookViewId="0">
      <selection activeCell="C9" sqref="C9"/>
    </sheetView>
  </sheetViews>
  <sheetFormatPr defaultColWidth="8.85546875" defaultRowHeight="15" x14ac:dyDescent="0.25"/>
  <cols>
    <col min="1" max="1" width="39.140625" style="48" customWidth="1"/>
    <col min="2" max="2" width="8.85546875" style="48"/>
    <col min="3" max="3" width="11.85546875" style="48" customWidth="1"/>
    <col min="4" max="4" width="10.85546875" style="48" customWidth="1"/>
    <col min="5" max="5" width="11.7109375" style="48" customWidth="1"/>
    <col min="6" max="6" width="12" style="48" customWidth="1"/>
    <col min="7" max="7" width="10.7109375" style="48" customWidth="1"/>
    <col min="8" max="8" width="10.140625" style="48" customWidth="1"/>
    <col min="9" max="9" width="10.28515625" style="48" customWidth="1"/>
    <col min="10" max="16384" width="8.85546875" style="48"/>
  </cols>
  <sheetData>
    <row r="1" spans="1:9" x14ac:dyDescent="0.25">
      <c r="A1" s="47"/>
      <c r="F1" s="47"/>
      <c r="H1" s="120" t="s">
        <v>144</v>
      </c>
      <c r="I1" s="120"/>
    </row>
    <row r="2" spans="1:9" x14ac:dyDescent="0.25">
      <c r="A2" s="121" t="s">
        <v>145</v>
      </c>
      <c r="B2" s="121"/>
      <c r="C2" s="121"/>
      <c r="D2" s="121"/>
      <c r="E2" s="121"/>
      <c r="F2" s="121"/>
      <c r="G2" s="121"/>
      <c r="H2" s="121"/>
      <c r="I2" s="121"/>
    </row>
    <row r="3" spans="1:9" x14ac:dyDescent="0.25">
      <c r="A3" s="49"/>
    </row>
    <row r="4" spans="1:9" ht="15" customHeight="1" x14ac:dyDescent="0.25">
      <c r="A4" s="115" t="s">
        <v>15</v>
      </c>
      <c r="B4" s="115" t="s">
        <v>89</v>
      </c>
      <c r="C4" s="107" t="s">
        <v>185</v>
      </c>
      <c r="D4" s="107" t="s">
        <v>184</v>
      </c>
      <c r="E4" s="107" t="s">
        <v>186</v>
      </c>
      <c r="F4" s="107" t="s">
        <v>178</v>
      </c>
      <c r="G4" s="107"/>
      <c r="H4" s="107"/>
      <c r="I4" s="107"/>
    </row>
    <row r="5" spans="1:9" ht="55.9" customHeight="1" x14ac:dyDescent="0.25">
      <c r="A5" s="115"/>
      <c r="B5" s="115"/>
      <c r="C5" s="107"/>
      <c r="D5" s="107"/>
      <c r="E5" s="107"/>
      <c r="F5" s="39" t="s">
        <v>179</v>
      </c>
      <c r="G5" s="39" t="s">
        <v>180</v>
      </c>
      <c r="H5" s="39" t="s">
        <v>181</v>
      </c>
      <c r="I5" s="39" t="s">
        <v>182</v>
      </c>
    </row>
    <row r="6" spans="1:9" ht="15.75" x14ac:dyDescent="0.25">
      <c r="A6" s="68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68">
        <v>9</v>
      </c>
    </row>
    <row r="7" spans="1:9" x14ac:dyDescent="0.25">
      <c r="A7" s="50" t="s">
        <v>146</v>
      </c>
      <c r="B7" s="51">
        <v>11000</v>
      </c>
      <c r="C7" s="65">
        <f t="shared" ref="C7:D7" si="0">SUM(C8:C13)</f>
        <v>1112.0999999999999</v>
      </c>
      <c r="D7" s="65">
        <f t="shared" si="0"/>
        <v>160</v>
      </c>
      <c r="E7" s="65">
        <f>SUM(E8:E13)</f>
        <v>0</v>
      </c>
      <c r="F7" s="65">
        <f>SUM(F8:F13)</f>
        <v>0</v>
      </c>
      <c r="G7" s="65">
        <f t="shared" ref="G7:I7" si="1">SUM(G8:G13)</f>
        <v>0</v>
      </c>
      <c r="H7" s="65">
        <f t="shared" si="1"/>
        <v>0</v>
      </c>
      <c r="I7" s="65">
        <f t="shared" si="1"/>
        <v>0</v>
      </c>
    </row>
    <row r="8" spans="1:9" x14ac:dyDescent="0.25">
      <c r="A8" s="52" t="s">
        <v>147</v>
      </c>
      <c r="B8" s="25">
        <v>11001</v>
      </c>
      <c r="C8" s="66"/>
      <c r="D8" s="66"/>
      <c r="E8" s="66"/>
      <c r="F8" s="66"/>
      <c r="G8" s="66"/>
      <c r="H8" s="66"/>
      <c r="I8" s="66"/>
    </row>
    <row r="9" spans="1:9" x14ac:dyDescent="0.25">
      <c r="A9" s="52" t="s">
        <v>148</v>
      </c>
      <c r="B9" s="25">
        <v>11002</v>
      </c>
      <c r="C9" s="66">
        <f>'Таблиця 1'!C89</f>
        <v>1112.0999999999999</v>
      </c>
      <c r="D9" s="66">
        <v>160</v>
      </c>
      <c r="E9" s="66">
        <f>SUM(F9:I9)</f>
        <v>0</v>
      </c>
      <c r="F9" s="66">
        <f>'Таблиця 1'!F89</f>
        <v>0</v>
      </c>
      <c r="G9" s="66">
        <f>'Таблиця 1'!G89</f>
        <v>0</v>
      </c>
      <c r="H9" s="66">
        <f>'Таблиця 1'!H89</f>
        <v>0</v>
      </c>
      <c r="I9" s="66">
        <f>'Таблиця 1'!I89</f>
        <v>0</v>
      </c>
    </row>
    <row r="10" spans="1:9" ht="28.9" customHeight="1" x14ac:dyDescent="0.25">
      <c r="A10" s="52" t="s">
        <v>149</v>
      </c>
      <c r="B10" s="25">
        <v>11003</v>
      </c>
      <c r="C10" s="66"/>
      <c r="D10" s="66"/>
      <c r="E10" s="66"/>
      <c r="F10" s="66"/>
      <c r="G10" s="66"/>
      <c r="H10" s="66"/>
      <c r="I10" s="66"/>
    </row>
    <row r="11" spans="1:9" x14ac:dyDescent="0.25">
      <c r="A11" s="52" t="s">
        <v>150</v>
      </c>
      <c r="B11" s="25">
        <v>11004</v>
      </c>
      <c r="C11" s="66"/>
      <c r="D11" s="66"/>
      <c r="E11" s="66"/>
      <c r="F11" s="66"/>
      <c r="G11" s="66"/>
      <c r="H11" s="66"/>
      <c r="I11" s="66"/>
    </row>
    <row r="12" spans="1:9" ht="38.25" x14ac:dyDescent="0.25">
      <c r="A12" s="52" t="s">
        <v>138</v>
      </c>
      <c r="B12" s="25">
        <v>11005</v>
      </c>
      <c r="C12" s="66"/>
      <c r="D12" s="66"/>
      <c r="E12" s="66"/>
      <c r="F12" s="66"/>
      <c r="G12" s="66"/>
      <c r="H12" s="66"/>
      <c r="I12" s="66"/>
    </row>
    <row r="13" spans="1:9" x14ac:dyDescent="0.25">
      <c r="A13" s="52" t="s">
        <v>139</v>
      </c>
      <c r="B13" s="25">
        <v>11006</v>
      </c>
      <c r="C13" s="66"/>
      <c r="D13" s="66"/>
      <c r="E13" s="66"/>
      <c r="F13" s="66"/>
      <c r="G13" s="66"/>
      <c r="H13" s="66"/>
      <c r="I13" s="66"/>
    </row>
    <row r="14" spans="1:9" x14ac:dyDescent="0.25">
      <c r="A14" s="53"/>
    </row>
    <row r="15" spans="1:9" ht="19.149999999999999" customHeight="1" thickBot="1" x14ac:dyDescent="0.3">
      <c r="A15" s="13" t="s">
        <v>176</v>
      </c>
      <c r="B15" s="35"/>
      <c r="C15" s="35"/>
      <c r="D15" s="35"/>
      <c r="E15" s="112"/>
      <c r="F15" s="112"/>
      <c r="G15" s="112" t="s">
        <v>162</v>
      </c>
      <c r="H15" s="112"/>
      <c r="I15" s="112"/>
    </row>
    <row r="16" spans="1:9" ht="24" customHeight="1" x14ac:dyDescent="0.25">
      <c r="A16" s="36" t="s">
        <v>86</v>
      </c>
      <c r="B16" s="37" t="s">
        <v>87</v>
      </c>
      <c r="C16" s="37"/>
      <c r="D16" s="37"/>
      <c r="E16" s="122"/>
      <c r="F16" s="122"/>
      <c r="G16" s="122" t="s">
        <v>88</v>
      </c>
      <c r="H16" s="122"/>
      <c r="I16" s="122"/>
    </row>
  </sheetData>
  <mergeCells count="12">
    <mergeCell ref="H1:I1"/>
    <mergeCell ref="A2:I2"/>
    <mergeCell ref="G15:I15"/>
    <mergeCell ref="G16:I16"/>
    <mergeCell ref="E15:F15"/>
    <mergeCell ref="E16:F16"/>
    <mergeCell ref="A4:A5"/>
    <mergeCell ref="C4:C5"/>
    <mergeCell ref="D4:D5"/>
    <mergeCell ref="E4:E5"/>
    <mergeCell ref="F4:I4"/>
    <mergeCell ref="B4:B5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0"/>
  <sheetViews>
    <sheetView tabSelected="1" topLeftCell="A49" workbookViewId="0">
      <selection activeCell="C19" sqref="C19"/>
    </sheetView>
  </sheetViews>
  <sheetFormatPr defaultColWidth="8.85546875" defaultRowHeight="15.75" x14ac:dyDescent="0.25"/>
  <cols>
    <col min="1" max="1" width="80.5703125" style="58" customWidth="1"/>
    <col min="2" max="2" width="16.7109375" style="58" customWidth="1"/>
    <col min="3" max="3" width="20" style="58" customWidth="1"/>
    <col min="4" max="4" width="18.28515625" style="58" customWidth="1"/>
    <col min="5" max="16384" width="8.85546875" style="58"/>
  </cols>
  <sheetData>
    <row r="1" spans="1:4" x14ac:dyDescent="0.25">
      <c r="A1" s="54"/>
      <c r="D1" s="54" t="s">
        <v>151</v>
      </c>
    </row>
    <row r="2" spans="1:4" x14ac:dyDescent="0.25">
      <c r="A2" s="113" t="s">
        <v>152</v>
      </c>
      <c r="B2" s="113"/>
      <c r="C2" s="113"/>
      <c r="D2" s="113"/>
    </row>
    <row r="3" spans="1:4" x14ac:dyDescent="0.25">
      <c r="A3" s="55"/>
    </row>
    <row r="4" spans="1:4" ht="50.45" customHeight="1" x14ac:dyDescent="0.25">
      <c r="A4" s="39" t="s">
        <v>15</v>
      </c>
      <c r="B4" s="39" t="s">
        <v>185</v>
      </c>
      <c r="C4" s="39" t="s">
        <v>184</v>
      </c>
      <c r="D4" s="39" t="s">
        <v>188</v>
      </c>
    </row>
    <row r="5" spans="1:4" x14ac:dyDescent="0.25">
      <c r="A5" s="80">
        <v>1</v>
      </c>
      <c r="B5" s="80">
        <v>2</v>
      </c>
      <c r="C5" s="80">
        <v>3</v>
      </c>
      <c r="D5" s="80">
        <v>4</v>
      </c>
    </row>
    <row r="6" spans="1:4" ht="31.9" customHeight="1" x14ac:dyDescent="0.25">
      <c r="A6" s="38" t="s">
        <v>193</v>
      </c>
      <c r="B6" s="80">
        <f>SUM(B7:B9)</f>
        <v>116</v>
      </c>
      <c r="C6" s="80">
        <f>SUM(C7:C9)</f>
        <v>118</v>
      </c>
      <c r="D6" s="80">
        <f>SUM(D7:D9)</f>
        <v>118</v>
      </c>
    </row>
    <row r="7" spans="1:4" x14ac:dyDescent="0.25">
      <c r="A7" s="40" t="s">
        <v>153</v>
      </c>
      <c r="B7" s="39">
        <v>1</v>
      </c>
      <c r="C7" s="39">
        <v>1</v>
      </c>
      <c r="D7" s="39">
        <v>1</v>
      </c>
    </row>
    <row r="8" spans="1:4" x14ac:dyDescent="0.25">
      <c r="A8" s="40" t="s">
        <v>154</v>
      </c>
      <c r="B8" s="39">
        <v>21</v>
      </c>
      <c r="C8" s="39">
        <v>21</v>
      </c>
      <c r="D8" s="39">
        <v>21</v>
      </c>
    </row>
    <row r="9" spans="1:4" x14ac:dyDescent="0.25">
      <c r="A9" s="40" t="s">
        <v>155</v>
      </c>
      <c r="B9" s="39">
        <v>94</v>
      </c>
      <c r="C9" s="39">
        <v>96</v>
      </c>
      <c r="D9" s="39">
        <v>96</v>
      </c>
    </row>
    <row r="10" spans="1:4" x14ac:dyDescent="0.25">
      <c r="A10" s="38" t="s">
        <v>156</v>
      </c>
      <c r="B10" s="64">
        <f>SUM(B11:B13)</f>
        <v>16485.900000000001</v>
      </c>
      <c r="C10" s="64">
        <f>SUM(C11:C13)</f>
        <v>17850</v>
      </c>
      <c r="D10" s="85">
        <f>SUM(D11:D13)</f>
        <v>17153.2</v>
      </c>
    </row>
    <row r="11" spans="1:4" x14ac:dyDescent="0.25">
      <c r="A11" s="40" t="s">
        <v>153</v>
      </c>
      <c r="B11" s="42">
        <v>662.1</v>
      </c>
      <c r="C11" s="42">
        <f>56*12</f>
        <v>672</v>
      </c>
      <c r="D11" s="42">
        <f>56*12</f>
        <v>672</v>
      </c>
    </row>
    <row r="12" spans="1:4" x14ac:dyDescent="0.25">
      <c r="A12" s="40" t="s">
        <v>154</v>
      </c>
      <c r="B12" s="42">
        <v>2816.6</v>
      </c>
      <c r="C12" s="42">
        <f>'Таблиця 1'!D63-C11</f>
        <v>3378</v>
      </c>
      <c r="D12" s="42">
        <f>'Таблиця 1'!E63-D11</f>
        <v>2858</v>
      </c>
    </row>
    <row r="13" spans="1:4" x14ac:dyDescent="0.25">
      <c r="A13" s="40" t="s">
        <v>155</v>
      </c>
      <c r="B13" s="42">
        <v>13007.2</v>
      </c>
      <c r="C13" s="42">
        <f>'Таблиця 1'!D34</f>
        <v>13800</v>
      </c>
      <c r="D13" s="42">
        <f>'Таблиця 1'!E34</f>
        <v>13623.2</v>
      </c>
    </row>
    <row r="14" spans="1:4" ht="31.5" x14ac:dyDescent="0.25">
      <c r="A14" s="38" t="s">
        <v>157</v>
      </c>
      <c r="B14" s="64"/>
      <c r="C14" s="64"/>
      <c r="D14" s="85"/>
    </row>
    <row r="15" spans="1:4" x14ac:dyDescent="0.25">
      <c r="A15" s="40" t="s">
        <v>153</v>
      </c>
      <c r="B15" s="42">
        <f t="shared" ref="B15:C17" si="0">B11/12/B7</f>
        <v>55.175000000000004</v>
      </c>
      <c r="C15" s="42">
        <f t="shared" si="0"/>
        <v>56</v>
      </c>
      <c r="D15" s="42">
        <f>D11/D7/12</f>
        <v>56</v>
      </c>
    </row>
    <row r="16" spans="1:4" x14ac:dyDescent="0.25">
      <c r="A16" s="40" t="s">
        <v>154</v>
      </c>
      <c r="B16" s="42">
        <f t="shared" si="0"/>
        <v>11.176984126984127</v>
      </c>
      <c r="C16" s="42">
        <f t="shared" si="0"/>
        <v>13.404761904761905</v>
      </c>
      <c r="D16" s="42">
        <f t="shared" ref="D16:D17" si="1">D12/D8/12</f>
        <v>11.341269841269842</v>
      </c>
    </row>
    <row r="17" spans="1:5" x14ac:dyDescent="0.25">
      <c r="A17" s="40" t="s">
        <v>155</v>
      </c>
      <c r="B17" s="42">
        <f t="shared" si="0"/>
        <v>11.531205673758866</v>
      </c>
      <c r="C17" s="42">
        <f t="shared" si="0"/>
        <v>11.979166666666666</v>
      </c>
      <c r="D17" s="42">
        <f t="shared" si="1"/>
        <v>11.825694444444444</v>
      </c>
    </row>
    <row r="18" spans="1:5" x14ac:dyDescent="0.25">
      <c r="A18" s="38" t="s">
        <v>158</v>
      </c>
      <c r="B18" s="64">
        <f>SUM(B19:B21)</f>
        <v>16713.8</v>
      </c>
      <c r="C18" s="64">
        <f>SUM(C19:C21)</f>
        <v>17850</v>
      </c>
      <c r="D18" s="64">
        <f>SUM(D19:D21)</f>
        <v>20150.3</v>
      </c>
    </row>
    <row r="19" spans="1:5" x14ac:dyDescent="0.25">
      <c r="A19" s="40" t="s">
        <v>153</v>
      </c>
      <c r="B19" s="42">
        <v>662.1</v>
      </c>
      <c r="C19" s="42">
        <f t="shared" ref="C19:C21" si="2">C11</f>
        <v>672</v>
      </c>
      <c r="D19" s="42">
        <f>D11+57</f>
        <v>729</v>
      </c>
    </row>
    <row r="20" spans="1:5" x14ac:dyDescent="0.25">
      <c r="A20" s="40" t="s">
        <v>154</v>
      </c>
      <c r="B20" s="42">
        <f>'Таблиця 1'!C63-B19</f>
        <v>2837.2000000000003</v>
      </c>
      <c r="C20" s="42">
        <f t="shared" si="2"/>
        <v>3378</v>
      </c>
      <c r="D20" s="42">
        <f>D12+600.2</f>
        <v>3458.2</v>
      </c>
    </row>
    <row r="21" spans="1:5" x14ac:dyDescent="0.25">
      <c r="A21" s="40" t="s">
        <v>155</v>
      </c>
      <c r="B21" s="42">
        <f>'Таблиця 1'!C34</f>
        <v>13214.5</v>
      </c>
      <c r="C21" s="42">
        <f t="shared" si="2"/>
        <v>13800</v>
      </c>
      <c r="D21" s="42">
        <f>D13+2339.9</f>
        <v>15963.1</v>
      </c>
    </row>
    <row r="22" spans="1:5" ht="31.5" x14ac:dyDescent="0.25">
      <c r="A22" s="38" t="s">
        <v>159</v>
      </c>
      <c r="B22" s="64"/>
      <c r="C22" s="64"/>
      <c r="D22" s="85"/>
    </row>
    <row r="23" spans="1:5" x14ac:dyDescent="0.25">
      <c r="A23" s="40" t="s">
        <v>153</v>
      </c>
      <c r="B23" s="42">
        <f>B19/12/B7</f>
        <v>55.175000000000004</v>
      </c>
      <c r="C23" s="42">
        <f>C19/12/C7</f>
        <v>56</v>
      </c>
      <c r="D23" s="42">
        <f>D19/12/D7</f>
        <v>60.75</v>
      </c>
    </row>
    <row r="24" spans="1:5" x14ac:dyDescent="0.25">
      <c r="A24" s="40" t="s">
        <v>154</v>
      </c>
      <c r="B24" s="42">
        <f>B20/12/B8</f>
        <v>11.25873015873016</v>
      </c>
      <c r="C24" s="42">
        <f t="shared" ref="B24:D25" si="3">C20/12/C8</f>
        <v>13.404761904761905</v>
      </c>
      <c r="D24" s="42">
        <f>D20/12/D8</f>
        <v>13.723015873015873</v>
      </c>
    </row>
    <row r="25" spans="1:5" x14ac:dyDescent="0.25">
      <c r="A25" s="40" t="s">
        <v>155</v>
      </c>
      <c r="B25" s="42">
        <f t="shared" si="3"/>
        <v>11.714982269503546</v>
      </c>
      <c r="C25" s="42">
        <f t="shared" si="3"/>
        <v>11.979166666666666</v>
      </c>
      <c r="D25" s="42">
        <f t="shared" si="3"/>
        <v>13.85685763888889</v>
      </c>
    </row>
    <row r="26" spans="1:5" x14ac:dyDescent="0.25">
      <c r="A26" s="56"/>
      <c r="B26" s="59"/>
      <c r="C26" s="59"/>
      <c r="D26" s="59"/>
    </row>
    <row r="27" spans="1:5" x14ac:dyDescent="0.25">
      <c r="A27" s="57"/>
    </row>
    <row r="28" spans="1:5" ht="16.149999999999999" customHeight="1" thickBot="1" x14ac:dyDescent="0.3">
      <c r="A28" s="13" t="s">
        <v>176</v>
      </c>
      <c r="B28" s="112" t="s">
        <v>162</v>
      </c>
      <c r="C28" s="112"/>
      <c r="D28" s="112"/>
      <c r="E28" s="60"/>
    </row>
    <row r="29" spans="1:5" x14ac:dyDescent="0.25">
      <c r="A29" s="45" t="s">
        <v>166</v>
      </c>
      <c r="B29" s="93"/>
      <c r="C29" s="123" t="s">
        <v>165</v>
      </c>
      <c r="D29" s="123"/>
      <c r="E29" s="84"/>
    </row>
    <row r="30" spans="1:5" x14ac:dyDescent="0.25">
      <c r="A30" s="57"/>
    </row>
  </sheetData>
  <mergeCells count="3">
    <mergeCell ref="C29:D29"/>
    <mergeCell ref="B28:D28"/>
    <mergeCell ref="A2:D2"/>
  </mergeCells>
  <pageMargins left="0.31496062992125984" right="0.31496062992125984" top="0.35433070866141736" bottom="0.35433070866141736" header="0.31496062992125984" footer="0.31496062992125984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3</vt:i4>
      </vt:variant>
    </vt:vector>
  </HeadingPairs>
  <TitlesOfParts>
    <vt:vector size="8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1'!Область_друку</vt:lpstr>
      <vt:lpstr>'Таблиця 3'!Область_друку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2025-12-24T15:30:35Z</dcterms:modified>
</cp:coreProperties>
</file>